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NAY" sheetId="1" r:id="rId4"/>
    <sheet state="visible" name="CLP1_backbone" sheetId="2" r:id="rId5"/>
    <sheet state="visible" name="CLP1CLK_backbone" sheetId="3" r:id="rId6"/>
    <sheet state="visible" name="CLP2_backbone" sheetId="4" r:id="rId7"/>
    <sheet state="visible" name="CLP2CLK_backbone" sheetId="5" r:id="rId8"/>
    <sheet state="visible" name="CLP1_cluster_backbone" sheetId="6" r:id="rId9"/>
    <sheet state="visible" name="CLP1CLK_cluster_backbone" sheetId="7" r:id="rId10"/>
    <sheet state="visible" name="CLP2_cluster_backbone" sheetId="8" r:id="rId11"/>
    <sheet state="visible" name="CLP2CLK_cluster_backbone" sheetId="9" r:id="rId12"/>
    <sheet state="visible" name="AuCLP1_cluster_backbone_winHbon" sheetId="10" r:id="rId13"/>
    <sheet state="visible" name="AuCLP1_cluster_backbone_loseHbo" sheetId="11" r:id="rId14"/>
    <sheet state="visible" name="AuCLP1CLK_cluster_backbone" sheetId="12" r:id="rId15"/>
  </sheets>
  <definedNames/>
  <calcPr/>
  <extLst>
    <ext uri="GoogleSheetsCustomDataVersion2">
      <go:sheetsCustomData xmlns:go="http://customooxmlschemas.google.com/" r:id="rId16" roundtripDataChecksum="o2puiUK1PxH6KKl3So0bZmLsD7QQmdLST4uOTfwUKU0="/>
    </ext>
  </extLst>
</workbook>
</file>

<file path=xl/sharedStrings.xml><?xml version="1.0" encoding="utf-8"?>
<sst xmlns="http://schemas.openxmlformats.org/spreadsheetml/2006/main" count="1975" uniqueCount="33">
  <si>
    <t>1ra cadena</t>
  </si>
  <si>
    <t>phi</t>
  </si>
  <si>
    <t>psi</t>
  </si>
  <si>
    <t>Modulo</t>
  </si>
  <si>
    <t>2da cadena</t>
  </si>
  <si>
    <t>3ra cadena</t>
  </si>
  <si>
    <t>Zona promedio</t>
  </si>
  <si>
    <t>GLY</t>
  </si>
  <si>
    <t>PRO</t>
  </si>
  <si>
    <t>SER</t>
  </si>
  <si>
    <t>TYR</t>
  </si>
  <si>
    <t>ILE</t>
  </si>
  <si>
    <t>GLU</t>
  </si>
  <si>
    <t>ALA</t>
  </si>
  <si>
    <t>ARG</t>
  </si>
  <si>
    <t>ASP</t>
  </si>
  <si>
    <t>Promedio de los modulos de las 3 cadenas</t>
  </si>
  <si>
    <t>STD</t>
  </si>
  <si>
    <t>std</t>
  </si>
  <si>
    <t>CYS</t>
  </si>
  <si>
    <t>LYS</t>
  </si>
  <si>
    <t>HYP</t>
  </si>
  <si>
    <t>SEM</t>
  </si>
  <si>
    <t>Ave</t>
  </si>
  <si>
    <t>Std</t>
  </si>
  <si>
    <t>Histogram</t>
  </si>
  <si>
    <t>Quantity</t>
  </si>
  <si>
    <t>Fraction</t>
  </si>
  <si>
    <t>Mean Calc</t>
  </si>
  <si>
    <t>Standard Dev</t>
  </si>
  <si>
    <t>Combined</t>
  </si>
  <si>
    <t>PHE</t>
  </si>
  <si>
    <t>Frac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</si>
</sst>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1" fillId="2" fontId="2" numFmtId="0" xfId="0" applyAlignment="1" applyBorder="1" applyFill="1" applyFont="1">
      <alignment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3" numFmtId="0" xfId="0" applyFont="1"/>
    <xf borderId="0" fillId="0" fontId="3" numFmtId="2" xfId="0" applyFont="1" applyNumberFormat="1"/>
    <xf borderId="0" fillId="0" fontId="3" numFmtId="0" xfId="0" applyAlignment="1" applyFont="1">
      <alignment readingOrder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0"/>
    </xf>
    <xf borderId="0" fillId="0" fontId="2" numFmtId="2" xfId="0" applyAlignment="1" applyFont="1" applyNumberFormat="1">
      <alignment horizontal="center" shrinkToFit="0" vertical="center" wrapText="0"/>
    </xf>
    <xf borderId="1" fillId="0" fontId="2" numFmtId="0" xfId="0" applyAlignment="1" applyBorder="1" applyFont="1">
      <alignment readingOrder="0" shrinkToFit="0" vertical="bottom" wrapText="0"/>
    </xf>
    <xf borderId="0" fillId="0" fontId="2" numFmtId="2" xfId="0" applyAlignment="1" applyFont="1" applyNumberForma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3" fontId="2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cat>
            <c:strRef>
              <c:f>'1NAY'!$B$40:$B$74</c:f>
            </c:strRef>
          </c:cat>
          <c:val>
            <c:numRef>
              <c:f>'1NAY'!$C$40:$C$74</c:f>
              <c:numCache/>
            </c:numRef>
          </c:val>
        </c:ser>
        <c:axId val="1846216114"/>
        <c:axId val="1186257069"/>
      </c:barChart>
      <c:catAx>
        <c:axId val="184621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86257069"/>
      </c:catAx>
      <c:valAx>
        <c:axId val="1186257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46216114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42</xdr:row>
      <xdr:rowOff>114300</xdr:rowOff>
    </xdr:from>
    <xdr:ext cx="10220325" cy="3895725"/>
    <xdr:graphicFrame>
      <xdr:nvGraphicFramePr>
        <xdr:cNvPr id="1853210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276225</xdr:colOff>
      <xdr:row>7</xdr:row>
      <xdr:rowOff>76200</xdr:rowOff>
    </xdr:from>
    <xdr:ext cx="1000125" cy="809625"/>
    <xdr:sp>
      <xdr:nvSpPr>
        <xdr:cNvPr id="3" name="Shape 3"/>
        <xdr:cNvSpPr/>
      </xdr:nvSpPr>
      <xdr:spPr>
        <a:xfrm>
          <a:off x="4850700" y="3379950"/>
          <a:ext cx="990600" cy="800100"/>
        </a:xfrm>
        <a:prstGeom prst="rect">
          <a:avLst/>
        </a:prstGeom>
        <a:solidFill>
          <a:srgbClr val="729FCF"/>
        </a:solidFill>
        <a:ln cap="flat" cmpd="sng" w="9525">
          <a:solidFill>
            <a:srgbClr val="3465A4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142875</xdr:colOff>
      <xdr:row>3</xdr:row>
      <xdr:rowOff>47625</xdr:rowOff>
    </xdr:from>
    <xdr:ext cx="6600825" cy="46291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7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</v>
      </c>
      <c r="H1" s="1" t="s">
        <v>2</v>
      </c>
      <c r="I1" s="1" t="s">
        <v>3</v>
      </c>
      <c r="J1" s="1"/>
      <c r="K1" s="1" t="s">
        <v>5</v>
      </c>
      <c r="L1" s="1" t="s">
        <v>1</v>
      </c>
      <c r="M1" s="1" t="s">
        <v>2</v>
      </c>
      <c r="N1" s="1" t="s">
        <v>3</v>
      </c>
      <c r="O1" s="1" t="s">
        <v>6</v>
      </c>
    </row>
    <row r="2" ht="12.75" customHeight="1">
      <c r="A2" s="2" t="s">
        <v>7</v>
      </c>
      <c r="B2" s="2">
        <v>0.0</v>
      </c>
      <c r="C2" s="2">
        <v>160.75862121582</v>
      </c>
      <c r="D2" s="3">
        <f>SQRT((O3 - B2)^2 + (P3 - C2)^2)</f>
        <v>62.07912481</v>
      </c>
      <c r="F2" s="2" t="s">
        <v>7</v>
      </c>
      <c r="G2" s="2">
        <v>0.0</v>
      </c>
      <c r="H2" s="2">
        <v>-175.846633911133</v>
      </c>
      <c r="I2" s="3">
        <f t="shared" ref="I2:I36" si="1">SQRT((O3 - G2)^2 + (P3 - H2)^2)</f>
        <v>323.828689</v>
      </c>
      <c r="K2" s="2" t="s">
        <v>7</v>
      </c>
      <c r="L2" s="2">
        <v>0.0</v>
      </c>
      <c r="M2" s="2">
        <v>160.845108032227</v>
      </c>
      <c r="N2" s="3">
        <f t="shared" ref="N2:N36" si="2">SQRT((O3 - L2)^2 + (P3 - M2)^2)</f>
        <v>62.1046172</v>
      </c>
      <c r="O2" s="1" t="s">
        <v>1</v>
      </c>
      <c r="P2" s="1" t="s">
        <v>2</v>
      </c>
    </row>
    <row r="3" ht="12.75" customHeight="1">
      <c r="A3" s="2" t="s">
        <v>8</v>
      </c>
      <c r="B3" s="2">
        <v>-77.1282196044922</v>
      </c>
      <c r="C3" s="2">
        <v>154.126708984375</v>
      </c>
      <c r="D3" s="3">
        <f>SQRT((O3 - B3)^2 + (P3 - C3)^2)</f>
        <v>21.25651725</v>
      </c>
      <c r="F3" s="2" t="s">
        <v>8</v>
      </c>
      <c r="G3" s="2">
        <v>-83.2979888916016</v>
      </c>
      <c r="H3" s="2">
        <v>136.859817504883</v>
      </c>
      <c r="I3" s="3">
        <f t="shared" si="1"/>
        <v>160.2159936</v>
      </c>
      <c r="K3" s="2" t="s">
        <v>8</v>
      </c>
      <c r="L3" s="2">
        <v>-62.9070739746094</v>
      </c>
      <c r="M3" s="2">
        <v>154.60481262207</v>
      </c>
      <c r="N3" s="3">
        <f t="shared" si="2"/>
        <v>166.9129954</v>
      </c>
      <c r="O3" s="4">
        <v>-59.3333</v>
      </c>
      <c r="P3" s="4">
        <v>142.5</v>
      </c>
    </row>
    <row r="4" ht="12.75" customHeight="1">
      <c r="A4" s="2" t="s">
        <v>8</v>
      </c>
      <c r="B4" s="2">
        <v>-41.8552551269531</v>
      </c>
      <c r="C4" s="2">
        <v>145.251800537109</v>
      </c>
      <c r="D4" s="3">
        <f t="shared" ref="D4:D36" si="3">SQRT((O3 - B4)^2 + (P3 - C4)^2)</f>
        <v>17.69334504</v>
      </c>
      <c r="F4" s="2" t="s">
        <v>8</v>
      </c>
      <c r="G4" s="2">
        <v>-46.9076271057129</v>
      </c>
      <c r="H4" s="2">
        <v>151.069091796875</v>
      </c>
      <c r="I4" s="3">
        <f t="shared" si="1"/>
        <v>158.1840573</v>
      </c>
      <c r="K4" s="2" t="s">
        <v>8</v>
      </c>
      <c r="L4" s="2">
        <v>-68.0514450073242</v>
      </c>
      <c r="M4" s="2">
        <v>129.02326965332</v>
      </c>
      <c r="N4" s="3">
        <f t="shared" si="2"/>
        <v>145.8698162</v>
      </c>
    </row>
    <row r="5" ht="12.75" customHeight="1">
      <c r="A5" s="2" t="s">
        <v>7</v>
      </c>
      <c r="B5" s="2">
        <v>-81.6529693603516</v>
      </c>
      <c r="C5" s="2">
        <v>165.796173095703</v>
      </c>
      <c r="D5" s="3">
        <f t="shared" si="3"/>
        <v>184.8122789</v>
      </c>
      <c r="F5" s="2" t="s">
        <v>7</v>
      </c>
      <c r="G5" s="2">
        <v>-75.6028823852539</v>
      </c>
      <c r="H5" s="2">
        <v>165.652069091797</v>
      </c>
      <c r="I5" s="3">
        <f t="shared" si="1"/>
        <v>182.0889997</v>
      </c>
      <c r="K5" s="2" t="s">
        <v>7</v>
      </c>
      <c r="L5" s="2">
        <v>-48.9931144714356</v>
      </c>
      <c r="M5" s="2">
        <v>168.483032226563</v>
      </c>
      <c r="N5" s="3">
        <f t="shared" si="2"/>
        <v>175.4618403</v>
      </c>
    </row>
    <row r="6" ht="12.75" customHeight="1">
      <c r="A6" s="2" t="s">
        <v>8</v>
      </c>
      <c r="B6" s="2">
        <v>-60.0260925292969</v>
      </c>
      <c r="C6" s="2">
        <v>161.60563659668</v>
      </c>
      <c r="D6" s="3">
        <f t="shared" si="3"/>
        <v>172.3934847</v>
      </c>
      <c r="F6" s="2" t="s">
        <v>8</v>
      </c>
      <c r="G6" s="2">
        <v>-79.509521484375</v>
      </c>
      <c r="H6" s="2">
        <v>150.369216918945</v>
      </c>
      <c r="I6" s="3">
        <f t="shared" si="1"/>
        <v>170.0960476</v>
      </c>
      <c r="K6" s="2" t="s">
        <v>8</v>
      </c>
      <c r="L6" s="2">
        <v>-71.6599044799805</v>
      </c>
      <c r="M6" s="2">
        <v>167.805221557617</v>
      </c>
      <c r="N6" s="3">
        <f t="shared" si="2"/>
        <v>182.4657072</v>
      </c>
    </row>
    <row r="7" ht="12.75" customHeight="1">
      <c r="A7" s="2" t="s">
        <v>8</v>
      </c>
      <c r="B7" s="2">
        <v>-76.0363998413086</v>
      </c>
      <c r="C7" s="2">
        <v>162.884902954102</v>
      </c>
      <c r="D7" s="3">
        <f t="shared" si="3"/>
        <v>179.7582424</v>
      </c>
      <c r="F7" s="2" t="s">
        <v>8</v>
      </c>
      <c r="G7" s="2">
        <v>-48.8956680297852</v>
      </c>
      <c r="H7" s="2">
        <v>165.384948730469</v>
      </c>
      <c r="I7" s="3">
        <f t="shared" si="1"/>
        <v>172.461496</v>
      </c>
      <c r="K7" s="2" t="s">
        <v>8</v>
      </c>
      <c r="L7" s="2">
        <v>-55.1254844665527</v>
      </c>
      <c r="M7" s="2">
        <v>171.587783813477</v>
      </c>
      <c r="N7" s="3">
        <f t="shared" si="2"/>
        <v>180.2253772</v>
      </c>
    </row>
    <row r="8" ht="12.75" customHeight="1">
      <c r="A8" s="2" t="s">
        <v>7</v>
      </c>
      <c r="B8" s="2">
        <v>-64.1316909790039</v>
      </c>
      <c r="C8" s="2">
        <v>163.081893920898</v>
      </c>
      <c r="D8" s="3">
        <f t="shared" si="3"/>
        <v>175.2386313</v>
      </c>
      <c r="F8" s="2" t="s">
        <v>7</v>
      </c>
      <c r="G8" s="2">
        <v>-78.4874114990234</v>
      </c>
      <c r="H8" s="2">
        <v>174.664642333984</v>
      </c>
      <c r="I8" s="3">
        <f t="shared" si="1"/>
        <v>191.4889319</v>
      </c>
      <c r="K8" s="2" t="s">
        <v>7</v>
      </c>
      <c r="L8" s="2">
        <v>-93.9164810180664</v>
      </c>
      <c r="M8" s="2">
        <v>-175.224914550781</v>
      </c>
      <c r="N8" s="3">
        <f t="shared" si="2"/>
        <v>198.8066299</v>
      </c>
    </row>
    <row r="9" ht="12.75" customHeight="1">
      <c r="A9" s="2" t="s">
        <v>8</v>
      </c>
      <c r="B9" s="2">
        <v>-74.1313171386719</v>
      </c>
      <c r="C9" s="2">
        <v>176.835678100586</v>
      </c>
      <c r="D9" s="3">
        <f t="shared" si="3"/>
        <v>191.7454282</v>
      </c>
      <c r="F9" s="2" t="s">
        <v>8</v>
      </c>
      <c r="G9" s="2">
        <v>-68.9139251708984</v>
      </c>
      <c r="H9" s="2">
        <v>165.16828918457</v>
      </c>
      <c r="I9" s="3">
        <f t="shared" si="1"/>
        <v>178.968413</v>
      </c>
      <c r="K9" s="2" t="s">
        <v>8</v>
      </c>
      <c r="L9" s="2">
        <v>-79.6146774291992</v>
      </c>
      <c r="M9" s="2">
        <v>136.838195800781</v>
      </c>
      <c r="N9" s="3">
        <f t="shared" si="2"/>
        <v>158.3135771</v>
      </c>
    </row>
    <row r="10" ht="12.75" customHeight="1">
      <c r="A10" s="2" t="s">
        <v>8</v>
      </c>
      <c r="B10" s="2">
        <v>-60.3967742919922</v>
      </c>
      <c r="C10" s="2">
        <v>166.620346069336</v>
      </c>
      <c r="D10" s="3">
        <f t="shared" si="3"/>
        <v>177.2289764</v>
      </c>
      <c r="F10" s="2" t="s">
        <v>8</v>
      </c>
      <c r="G10" s="2">
        <v>-48.5635070800781</v>
      </c>
      <c r="H10" s="2">
        <v>151.86296081543</v>
      </c>
      <c r="I10" s="3">
        <f t="shared" si="1"/>
        <v>159.4389322</v>
      </c>
      <c r="K10" s="2" t="s">
        <v>8</v>
      </c>
      <c r="L10" s="2">
        <v>-45.9745407104492</v>
      </c>
      <c r="M10" s="2">
        <v>165.905960083008</v>
      </c>
      <c r="N10" s="3">
        <f t="shared" si="2"/>
        <v>172.1582005</v>
      </c>
    </row>
    <row r="11" ht="12.75" customHeight="1">
      <c r="A11" s="2" t="s">
        <v>7</v>
      </c>
      <c r="B11" s="2">
        <v>-86.8439559936524</v>
      </c>
      <c r="C11" s="2">
        <v>167.107315063477</v>
      </c>
      <c r="D11" s="3">
        <f t="shared" si="3"/>
        <v>188.3261199</v>
      </c>
      <c r="F11" s="2" t="s">
        <v>7</v>
      </c>
      <c r="G11" s="2">
        <v>-73.1240463256836</v>
      </c>
      <c r="H11" s="2">
        <v>-179.646362304688</v>
      </c>
      <c r="I11" s="3">
        <f t="shared" si="1"/>
        <v>193.9586081</v>
      </c>
      <c r="K11" s="2" t="s">
        <v>7</v>
      </c>
      <c r="L11" s="2">
        <v>-79.0694122314453</v>
      </c>
      <c r="M11" s="2">
        <v>166.514755249023</v>
      </c>
      <c r="N11" s="3">
        <f t="shared" si="2"/>
        <v>184.3343041</v>
      </c>
    </row>
    <row r="12" ht="12.75" customHeight="1">
      <c r="A12" s="2" t="s">
        <v>8</v>
      </c>
      <c r="B12" s="2">
        <v>-73.8429794311523</v>
      </c>
      <c r="C12" s="2">
        <v>153.528656005859</v>
      </c>
      <c r="D12" s="3">
        <f t="shared" si="3"/>
        <v>170.3638278</v>
      </c>
      <c r="F12" s="2" t="s">
        <v>8</v>
      </c>
      <c r="G12" s="2">
        <v>-88.5270538330078</v>
      </c>
      <c r="H12" s="2">
        <v>141.80419921875</v>
      </c>
      <c r="I12" s="3">
        <f t="shared" si="1"/>
        <v>167.1689869</v>
      </c>
      <c r="K12" s="2" t="s">
        <v>8</v>
      </c>
      <c r="L12" s="2">
        <v>-72.4717025756836</v>
      </c>
      <c r="M12" s="2">
        <v>148.51091003418</v>
      </c>
      <c r="N12" s="3">
        <f t="shared" si="2"/>
        <v>165.2502287</v>
      </c>
    </row>
    <row r="13" ht="12.75" customHeight="1">
      <c r="A13" s="2" t="s">
        <v>8</v>
      </c>
      <c r="B13" s="2">
        <v>-52.2417984008789</v>
      </c>
      <c r="C13" s="2">
        <v>154.274353027344</v>
      </c>
      <c r="D13" s="3">
        <f t="shared" si="3"/>
        <v>162.8796534</v>
      </c>
      <c r="F13" s="2" t="s">
        <v>8</v>
      </c>
      <c r="G13" s="2">
        <v>-43.0050773620606</v>
      </c>
      <c r="H13" s="2">
        <v>151.100372314453</v>
      </c>
      <c r="I13" s="3">
        <f t="shared" si="1"/>
        <v>157.1011114</v>
      </c>
      <c r="K13" s="2" t="s">
        <v>8</v>
      </c>
      <c r="L13" s="2">
        <v>-59.9889450073242</v>
      </c>
      <c r="M13" s="2">
        <v>136.450668334961</v>
      </c>
      <c r="N13" s="3">
        <f t="shared" si="2"/>
        <v>149.0552193</v>
      </c>
    </row>
    <row r="14" ht="12.75" customHeight="1">
      <c r="A14" s="5" t="s">
        <v>7</v>
      </c>
      <c r="B14" s="5">
        <v>-84.429443359375</v>
      </c>
      <c r="C14" s="5">
        <v>-170.759338378906</v>
      </c>
      <c r="D14" s="6">
        <f t="shared" si="3"/>
        <v>190.4916863</v>
      </c>
      <c r="F14" s="2" t="s">
        <v>7</v>
      </c>
      <c r="G14" s="2">
        <v>-89.9399948120117</v>
      </c>
      <c r="H14" s="2">
        <v>176.075347900391</v>
      </c>
      <c r="I14" s="3">
        <f t="shared" si="1"/>
        <v>197.7162887</v>
      </c>
      <c r="K14" s="2" t="s">
        <v>7</v>
      </c>
      <c r="L14" s="2">
        <v>-58.1249351501465</v>
      </c>
      <c r="M14" s="2">
        <v>175.572677612305</v>
      </c>
      <c r="N14" s="3">
        <f t="shared" si="2"/>
        <v>184.9439732</v>
      </c>
    </row>
    <row r="15" ht="12.75" customHeight="1">
      <c r="A15" s="2" t="s">
        <v>8</v>
      </c>
      <c r="B15" s="2">
        <v>-85.369743347168</v>
      </c>
      <c r="C15" s="2">
        <v>153.208145141602</v>
      </c>
      <c r="D15" s="3">
        <f t="shared" si="3"/>
        <v>175.3873679</v>
      </c>
      <c r="F15" s="2" t="s">
        <v>8</v>
      </c>
      <c r="G15" s="2">
        <v>-60.2592887878418</v>
      </c>
      <c r="H15" s="2">
        <v>163.903442382813</v>
      </c>
      <c r="I15" s="3">
        <f t="shared" si="1"/>
        <v>174.6296662</v>
      </c>
      <c r="K15" s="2" t="s">
        <v>8</v>
      </c>
      <c r="L15" s="2">
        <v>-65.2673645019531</v>
      </c>
      <c r="M15" s="2">
        <v>159.076507568359</v>
      </c>
      <c r="N15" s="3">
        <f t="shared" si="2"/>
        <v>171.9452358</v>
      </c>
    </row>
    <row r="16" ht="12.75" customHeight="1">
      <c r="A16" s="2" t="s">
        <v>8</v>
      </c>
      <c r="B16" s="2">
        <v>-59.6107902526856</v>
      </c>
      <c r="C16" s="2">
        <v>168.351974487305</v>
      </c>
      <c r="D16" s="3">
        <f t="shared" si="3"/>
        <v>178.594047</v>
      </c>
      <c r="F16" s="2" t="s">
        <v>8</v>
      </c>
      <c r="G16" s="2">
        <v>-78.3324737548828</v>
      </c>
      <c r="H16" s="2">
        <v>153.305740356445</v>
      </c>
      <c r="I16" s="3">
        <f t="shared" si="1"/>
        <v>172.1587246</v>
      </c>
      <c r="K16" s="2" t="s">
        <v>8</v>
      </c>
      <c r="L16" s="2">
        <v>-57.9224014282227</v>
      </c>
      <c r="M16" s="2">
        <v>174.497299194336</v>
      </c>
      <c r="N16" s="3">
        <f t="shared" si="2"/>
        <v>183.8594899</v>
      </c>
    </row>
    <row r="17" ht="12.75" customHeight="1">
      <c r="A17" s="2" t="s">
        <v>7</v>
      </c>
      <c r="B17" s="2">
        <v>-76.1936111450195</v>
      </c>
      <c r="C17" s="2">
        <v>165.969635009766</v>
      </c>
      <c r="D17" s="3">
        <f t="shared" si="3"/>
        <v>182.6236187</v>
      </c>
      <c r="F17" s="2" t="s">
        <v>7</v>
      </c>
      <c r="G17" s="2">
        <v>-55.1516876220703</v>
      </c>
      <c r="H17" s="2">
        <v>162.542556762695</v>
      </c>
      <c r="I17" s="3">
        <f t="shared" si="1"/>
        <v>171.6443748</v>
      </c>
      <c r="K17" s="2" t="s">
        <v>7</v>
      </c>
      <c r="L17" s="2">
        <v>-81.5540390014649</v>
      </c>
      <c r="M17" s="2">
        <v>175.911102294922</v>
      </c>
      <c r="N17" s="3">
        <f t="shared" si="2"/>
        <v>193.8963052</v>
      </c>
    </row>
    <row r="18" ht="12.75" customHeight="1">
      <c r="A18" s="2" t="s">
        <v>8</v>
      </c>
      <c r="B18" s="2">
        <v>-61.1564826965332</v>
      </c>
      <c r="C18" s="2">
        <v>170.762252807617</v>
      </c>
      <c r="D18" s="3">
        <f t="shared" si="3"/>
        <v>181.3831921</v>
      </c>
      <c r="F18" s="2" t="s">
        <v>8</v>
      </c>
      <c r="G18" s="2">
        <v>-58.5908317565918</v>
      </c>
      <c r="H18" s="2">
        <v>175.298141479492</v>
      </c>
      <c r="I18" s="3">
        <f t="shared" si="1"/>
        <v>184.8305277</v>
      </c>
      <c r="K18" s="2" t="s">
        <v>8</v>
      </c>
      <c r="L18" s="2">
        <v>-74.731575012207</v>
      </c>
      <c r="M18" s="2">
        <v>156.066833496094</v>
      </c>
      <c r="N18" s="3">
        <f t="shared" si="2"/>
        <v>173.0365997</v>
      </c>
    </row>
    <row r="19" ht="12.75" customHeight="1">
      <c r="A19" s="2" t="s">
        <v>8</v>
      </c>
      <c r="B19" s="2">
        <v>-61.5073165893555</v>
      </c>
      <c r="C19" s="2">
        <v>148.881546020508</v>
      </c>
      <c r="D19" s="3">
        <f t="shared" si="3"/>
        <v>161.0865132</v>
      </c>
      <c r="F19" s="2" t="s">
        <v>8</v>
      </c>
      <c r="G19" s="2">
        <v>-72.7578277587891</v>
      </c>
      <c r="H19" s="2">
        <v>144.299591064453</v>
      </c>
      <c r="I19" s="3">
        <f t="shared" si="1"/>
        <v>161.6046827</v>
      </c>
      <c r="K19" s="2" t="s">
        <v>8</v>
      </c>
      <c r="L19" s="2">
        <v>-57.8767700195313</v>
      </c>
      <c r="M19" s="2">
        <v>132.576049804688</v>
      </c>
      <c r="N19" s="3">
        <f t="shared" si="2"/>
        <v>144.6586654</v>
      </c>
    </row>
    <row r="20" ht="12.75" customHeight="1">
      <c r="A20" s="2" t="s">
        <v>7</v>
      </c>
      <c r="B20" s="2">
        <v>-86.2508697509766</v>
      </c>
      <c r="C20" s="2">
        <v>161.797409057617</v>
      </c>
      <c r="D20" s="3">
        <f t="shared" si="3"/>
        <v>183.3510679</v>
      </c>
      <c r="F20" s="2" t="s">
        <v>7</v>
      </c>
      <c r="G20" s="2">
        <v>-58.4545669555664</v>
      </c>
      <c r="H20" s="2">
        <v>173.024765014648</v>
      </c>
      <c r="I20" s="3">
        <f t="shared" si="1"/>
        <v>182.6321596</v>
      </c>
      <c r="K20" s="2" t="s">
        <v>7</v>
      </c>
      <c r="L20" s="2">
        <v>-59.4319953918457</v>
      </c>
      <c r="M20" s="2">
        <v>161.278259277344</v>
      </c>
      <c r="N20" s="3">
        <f t="shared" si="2"/>
        <v>171.8803043</v>
      </c>
    </row>
    <row r="21" ht="12.75" customHeight="1">
      <c r="A21" s="2" t="s">
        <v>8</v>
      </c>
      <c r="B21" s="2">
        <v>-79.3784790039063</v>
      </c>
      <c r="C21" s="2">
        <v>158.822402954102</v>
      </c>
      <c r="D21" s="3">
        <f t="shared" si="3"/>
        <v>177.5542132</v>
      </c>
      <c r="F21" s="2" t="s">
        <v>8</v>
      </c>
      <c r="G21" s="2">
        <v>-74.2065963745117</v>
      </c>
      <c r="H21" s="2">
        <v>142.455841064453</v>
      </c>
      <c r="I21" s="3">
        <f t="shared" si="1"/>
        <v>160.6246731</v>
      </c>
      <c r="K21" s="2" t="s">
        <v>8</v>
      </c>
      <c r="L21" s="2">
        <v>-65.4666137695313</v>
      </c>
      <c r="M21" s="2">
        <v>151.414123535156</v>
      </c>
      <c r="N21" s="3">
        <f t="shared" si="2"/>
        <v>164.9609479</v>
      </c>
    </row>
    <row r="22" ht="12.75" customHeight="1">
      <c r="A22" s="2" t="s">
        <v>8</v>
      </c>
      <c r="B22" s="2">
        <v>-69.891357421875</v>
      </c>
      <c r="C22" s="2">
        <v>154.035797119141</v>
      </c>
      <c r="D22" s="3">
        <f t="shared" si="3"/>
        <v>169.1503137</v>
      </c>
      <c r="F22" s="2" t="s">
        <v>8</v>
      </c>
      <c r="G22" s="2">
        <v>-61.5080795288086</v>
      </c>
      <c r="H22" s="2">
        <v>127.787406921387</v>
      </c>
      <c r="I22" s="3">
        <f t="shared" si="1"/>
        <v>141.8198336</v>
      </c>
      <c r="K22" s="2" t="s">
        <v>8</v>
      </c>
      <c r="L22" s="2">
        <v>-63.1443824768066</v>
      </c>
      <c r="M22" s="2">
        <v>156.34309387207</v>
      </c>
      <c r="N22" s="3">
        <f t="shared" si="2"/>
        <v>168.6130957</v>
      </c>
    </row>
    <row r="23" ht="12.75" customHeight="1">
      <c r="A23" s="2" t="s">
        <v>7</v>
      </c>
      <c r="B23" s="2">
        <v>-63.3317909240723</v>
      </c>
      <c r="C23" s="2">
        <v>-171.526306152344</v>
      </c>
      <c r="D23" s="3">
        <f t="shared" si="3"/>
        <v>182.844714</v>
      </c>
      <c r="F23" s="2" t="s">
        <v>7</v>
      </c>
      <c r="G23" s="2">
        <v>-64.8528823852539</v>
      </c>
      <c r="H23" s="2">
        <v>170.347366333008</v>
      </c>
      <c r="I23" s="3">
        <f t="shared" si="1"/>
        <v>182.2748517</v>
      </c>
      <c r="K23" s="2" t="s">
        <v>7</v>
      </c>
      <c r="L23" s="2">
        <v>-75.9960174560547</v>
      </c>
      <c r="M23" s="2">
        <v>172.824920654297</v>
      </c>
      <c r="N23" s="3">
        <f t="shared" si="2"/>
        <v>188.7957835</v>
      </c>
    </row>
    <row r="24" ht="12.75" customHeight="1">
      <c r="A24" s="2" t="s">
        <v>8</v>
      </c>
      <c r="B24" s="2">
        <v>-91.9086380004883</v>
      </c>
      <c r="C24" s="2">
        <v>170.552978515625</v>
      </c>
      <c r="D24" s="3">
        <f t="shared" si="3"/>
        <v>193.7408481</v>
      </c>
      <c r="F24" s="2" t="s">
        <v>8</v>
      </c>
      <c r="G24" s="2">
        <v>-76.8709106445313</v>
      </c>
      <c r="H24" s="2">
        <v>174.099472045898</v>
      </c>
      <c r="I24" s="3">
        <f t="shared" si="1"/>
        <v>190.314905</v>
      </c>
      <c r="K24" s="2" t="s">
        <v>8</v>
      </c>
      <c r="L24" s="2">
        <v>-66.1500015258789</v>
      </c>
      <c r="M24" s="2">
        <v>158.578765869141</v>
      </c>
      <c r="N24" s="3">
        <f t="shared" si="2"/>
        <v>171.8227217</v>
      </c>
    </row>
    <row r="25" ht="12.75" customHeight="1">
      <c r="A25" s="2" t="s">
        <v>8</v>
      </c>
      <c r="B25" s="2">
        <v>-94.4815521240234</v>
      </c>
      <c r="C25" s="2">
        <v>0.894462108612061</v>
      </c>
      <c r="D25" s="3">
        <f t="shared" si="3"/>
        <v>94.48578599</v>
      </c>
      <c r="F25" s="2" t="s">
        <v>8</v>
      </c>
      <c r="G25" s="2">
        <v>-72.0049819946289</v>
      </c>
      <c r="H25" s="2">
        <v>-174.413619995117</v>
      </c>
      <c r="I25" s="3">
        <f t="shared" si="1"/>
        <v>188.6924171</v>
      </c>
      <c r="K25" s="2" t="s">
        <v>8</v>
      </c>
      <c r="L25" s="2">
        <v>-61.0041351318359</v>
      </c>
      <c r="M25" s="2">
        <v>150.065093994141</v>
      </c>
      <c r="N25" s="3">
        <f t="shared" si="2"/>
        <v>161.9908545</v>
      </c>
    </row>
    <row r="26" ht="12.75" customHeight="1">
      <c r="A26" s="2" t="s">
        <v>7</v>
      </c>
      <c r="B26" s="2">
        <v>-4.50035667419434</v>
      </c>
      <c r="C26" s="2">
        <v>-52.3016891479492</v>
      </c>
      <c r="D26" s="3">
        <f t="shared" si="3"/>
        <v>52.49495117</v>
      </c>
      <c r="F26" s="2" t="s">
        <v>7</v>
      </c>
      <c r="G26" s="2">
        <v>-82.6015853881836</v>
      </c>
      <c r="H26" s="2">
        <v>166.412536621094</v>
      </c>
      <c r="I26" s="3">
        <f t="shared" si="1"/>
        <v>185.7852369</v>
      </c>
      <c r="K26" s="2" t="s">
        <v>7</v>
      </c>
      <c r="L26" s="2">
        <v>-64.4108200073242</v>
      </c>
      <c r="M26" s="2">
        <v>-52.1584320068359</v>
      </c>
      <c r="N26" s="3">
        <f t="shared" si="2"/>
        <v>82.88097347</v>
      </c>
    </row>
    <row r="27" ht="12.75" customHeight="1">
      <c r="A27" s="2" t="s">
        <v>9</v>
      </c>
      <c r="B27" s="2">
        <v>-132.819107055664</v>
      </c>
      <c r="C27" s="2">
        <v>72.8767166137695</v>
      </c>
      <c r="D27" s="3">
        <f t="shared" si="3"/>
        <v>151.4989473</v>
      </c>
      <c r="F27" s="2" t="s">
        <v>9</v>
      </c>
      <c r="G27" s="2">
        <v>-156.25422668457</v>
      </c>
      <c r="H27" s="2">
        <v>168.77458190918</v>
      </c>
      <c r="I27" s="3">
        <f t="shared" si="1"/>
        <v>230.0005279</v>
      </c>
      <c r="K27" s="2" t="s">
        <v>9</v>
      </c>
      <c r="L27" s="2">
        <v>40.4802055358887</v>
      </c>
      <c r="M27" s="2">
        <v>175.094589233398</v>
      </c>
      <c r="N27" s="3">
        <f t="shared" si="2"/>
        <v>179.7129996</v>
      </c>
    </row>
    <row r="28" ht="12.75" customHeight="1">
      <c r="A28" s="2" t="s">
        <v>7</v>
      </c>
      <c r="B28" s="2">
        <v>-88.1945343017578</v>
      </c>
      <c r="C28" s="2">
        <v>120.527061462402</v>
      </c>
      <c r="D28" s="3">
        <f t="shared" si="3"/>
        <v>149.3487477</v>
      </c>
      <c r="F28" s="2" t="s">
        <v>7</v>
      </c>
      <c r="G28" s="2">
        <v>120.040740966797</v>
      </c>
      <c r="H28" s="2">
        <v>-30.64870262146</v>
      </c>
      <c r="I28" s="3">
        <f t="shared" si="1"/>
        <v>123.8915754</v>
      </c>
      <c r="K28" s="2" t="s">
        <v>7</v>
      </c>
      <c r="L28" s="2">
        <v>67.3250122070313</v>
      </c>
      <c r="M28" s="2">
        <v>14.4054117202759</v>
      </c>
      <c r="N28" s="3">
        <f t="shared" si="2"/>
        <v>68.84891543</v>
      </c>
    </row>
    <row r="29" ht="12.75" customHeight="1">
      <c r="A29" s="2" t="s">
        <v>10</v>
      </c>
      <c r="B29" s="2">
        <v>-97.5818862915039</v>
      </c>
      <c r="C29" s="2">
        <v>-60.2300033569336</v>
      </c>
      <c r="D29" s="3">
        <f t="shared" si="3"/>
        <v>114.6729168</v>
      </c>
      <c r="F29" s="2" t="s">
        <v>10</v>
      </c>
      <c r="G29" s="2">
        <v>-121.841163635254</v>
      </c>
      <c r="H29" s="2">
        <v>165.501892089844</v>
      </c>
      <c r="I29" s="3">
        <f t="shared" si="1"/>
        <v>205.5143436</v>
      </c>
      <c r="K29" s="2" t="s">
        <v>10</v>
      </c>
      <c r="L29" s="2">
        <v>-68.4489059448242</v>
      </c>
      <c r="M29" s="2">
        <v>148.124145507813</v>
      </c>
      <c r="N29" s="3">
        <f t="shared" si="2"/>
        <v>163.1747995</v>
      </c>
    </row>
    <row r="30" ht="12.75" customHeight="1">
      <c r="A30" s="2" t="s">
        <v>11</v>
      </c>
      <c r="B30" s="2">
        <v>-115.395622253418</v>
      </c>
      <c r="C30" s="2">
        <v>130.736892700195</v>
      </c>
      <c r="D30" s="3">
        <f t="shared" si="3"/>
        <v>174.3797143</v>
      </c>
      <c r="F30" s="2" t="s">
        <v>11</v>
      </c>
      <c r="G30" s="2">
        <v>-82.6387405395508</v>
      </c>
      <c r="H30" s="2">
        <v>117.045303344727</v>
      </c>
      <c r="I30" s="3">
        <f t="shared" si="1"/>
        <v>143.2786253</v>
      </c>
      <c r="K30" s="2" t="s">
        <v>11</v>
      </c>
      <c r="L30" s="2">
        <v>-117.931770324707</v>
      </c>
      <c r="M30" s="2">
        <v>157.116607666016</v>
      </c>
      <c r="N30" s="3">
        <f t="shared" si="2"/>
        <v>196.4523628</v>
      </c>
    </row>
    <row r="31" ht="12.75" customHeight="1">
      <c r="A31" s="2" t="s">
        <v>8</v>
      </c>
      <c r="B31" s="2">
        <v>-70.7838973999023</v>
      </c>
      <c r="C31" s="2">
        <v>142.86848449707</v>
      </c>
      <c r="D31" s="3">
        <f t="shared" si="3"/>
        <v>159.4420396</v>
      </c>
      <c r="F31" s="2" t="s">
        <v>8</v>
      </c>
      <c r="G31" s="2">
        <v>-90.0774536132812</v>
      </c>
      <c r="H31" s="2">
        <v>160.511215209961</v>
      </c>
      <c r="I31" s="3">
        <f t="shared" si="1"/>
        <v>184.0592238</v>
      </c>
      <c r="K31" s="2" t="s">
        <v>8</v>
      </c>
      <c r="L31" s="2">
        <v>-64.2216567993164</v>
      </c>
      <c r="M31" s="2">
        <v>153.148376464844</v>
      </c>
      <c r="N31" s="3">
        <f t="shared" si="2"/>
        <v>166.0688002</v>
      </c>
    </row>
    <row r="32" ht="12.75" customHeight="1">
      <c r="A32" s="2" t="s">
        <v>12</v>
      </c>
      <c r="B32" s="2">
        <v>-51.7989540100098</v>
      </c>
      <c r="C32" s="2">
        <v>146.630432128906</v>
      </c>
      <c r="D32" s="3">
        <f t="shared" si="3"/>
        <v>155.5108204</v>
      </c>
      <c r="F32" s="2" t="s">
        <v>12</v>
      </c>
      <c r="G32" s="2">
        <v>-48.8633117675781</v>
      </c>
      <c r="H32" s="2">
        <v>162.517425537109</v>
      </c>
      <c r="I32" s="3">
        <f t="shared" si="1"/>
        <v>169.7042629</v>
      </c>
      <c r="K32" s="2" t="s">
        <v>12</v>
      </c>
      <c r="L32" s="2">
        <v>-60.7855415344238</v>
      </c>
      <c r="M32" s="2">
        <v>145.68244934082</v>
      </c>
      <c r="N32" s="3">
        <f t="shared" si="2"/>
        <v>157.8551808</v>
      </c>
    </row>
    <row r="33" ht="12.75" customHeight="1">
      <c r="A33" s="2" t="s">
        <v>13</v>
      </c>
      <c r="B33" s="2">
        <v>-77.6923065185547</v>
      </c>
      <c r="C33" s="2">
        <v>178.091293334961</v>
      </c>
      <c r="D33" s="3">
        <f t="shared" si="3"/>
        <v>194.3002914</v>
      </c>
      <c r="F33" s="2" t="s">
        <v>13</v>
      </c>
      <c r="G33" s="2">
        <v>-109.62442779541</v>
      </c>
      <c r="H33" s="2">
        <v>164.300674438477</v>
      </c>
      <c r="I33" s="3">
        <f t="shared" si="1"/>
        <v>197.5151305</v>
      </c>
      <c r="K33" s="2" t="s">
        <v>13</v>
      </c>
      <c r="L33" s="2">
        <v>-78.5653915405274</v>
      </c>
      <c r="M33" s="2">
        <v>174.850204467773</v>
      </c>
      <c r="N33" s="3">
        <f t="shared" si="2"/>
        <v>191.690153</v>
      </c>
    </row>
    <row r="34" ht="12.75" customHeight="1">
      <c r="A34" s="2" t="s">
        <v>8</v>
      </c>
      <c r="B34" s="2">
        <v>-68.5782165527344</v>
      </c>
      <c r="C34" s="2">
        <v>156.852462768555</v>
      </c>
      <c r="D34" s="3">
        <f t="shared" si="3"/>
        <v>171.18898</v>
      </c>
      <c r="F34" s="2" t="s">
        <v>8</v>
      </c>
      <c r="G34" s="2">
        <v>-49.3083839416504</v>
      </c>
      <c r="H34" s="2">
        <v>139.692489624023</v>
      </c>
      <c r="I34" s="3">
        <f t="shared" si="1"/>
        <v>148.1394896</v>
      </c>
      <c r="K34" s="2" t="s">
        <v>8</v>
      </c>
      <c r="L34" s="2">
        <v>-63.6789894104004</v>
      </c>
      <c r="M34" s="2">
        <v>156.419998168945</v>
      </c>
      <c r="N34" s="3">
        <f t="shared" si="2"/>
        <v>168.8852555</v>
      </c>
    </row>
    <row r="35" ht="12.75" customHeight="1">
      <c r="A35" s="2" t="s">
        <v>14</v>
      </c>
      <c r="B35" s="2">
        <v>-115.089973449707</v>
      </c>
      <c r="C35" s="2">
        <v>96.1478958129883</v>
      </c>
      <c r="D35" s="3">
        <f t="shared" si="3"/>
        <v>149.9670626</v>
      </c>
      <c r="F35" s="2" t="s">
        <v>14</v>
      </c>
      <c r="G35" s="2">
        <v>-106.100173950195</v>
      </c>
      <c r="H35" s="2">
        <v>86.5174865722656</v>
      </c>
      <c r="I35" s="3">
        <f t="shared" si="1"/>
        <v>136.9033323</v>
      </c>
      <c r="K35" s="2" t="s">
        <v>14</v>
      </c>
      <c r="L35" s="2">
        <v>-119.513076782227</v>
      </c>
      <c r="M35" s="2">
        <v>87.6282119750977</v>
      </c>
      <c r="N35" s="3">
        <f t="shared" si="2"/>
        <v>148.1960831</v>
      </c>
    </row>
    <row r="36" ht="12.75" customHeight="1">
      <c r="A36" s="2" t="s">
        <v>15</v>
      </c>
      <c r="B36" s="2">
        <v>-149.039794921875</v>
      </c>
      <c r="C36" s="2">
        <v>0.0</v>
      </c>
      <c r="D36" s="3">
        <f t="shared" si="3"/>
        <v>149.0397949</v>
      </c>
      <c r="F36" s="2" t="s">
        <v>15</v>
      </c>
      <c r="G36" s="2">
        <v>-136.730178833008</v>
      </c>
      <c r="H36" s="2">
        <v>0.0</v>
      </c>
      <c r="I36" s="3">
        <f t="shared" si="1"/>
        <v>136.7301788</v>
      </c>
      <c r="K36" s="2" t="s">
        <v>15</v>
      </c>
      <c r="L36" s="2">
        <v>-144.245498657227</v>
      </c>
      <c r="M36" s="2">
        <v>0.0</v>
      </c>
      <c r="N36" s="3">
        <f t="shared" si="2"/>
        <v>144.2454987</v>
      </c>
    </row>
    <row r="37" ht="12.75" customHeight="1"/>
    <row r="38" ht="12.75" customHeight="1"/>
    <row r="39" ht="12.75" customHeight="1">
      <c r="B39" s="1" t="s">
        <v>16</v>
      </c>
    </row>
    <row r="40" ht="12.75" customHeight="1">
      <c r="B40" s="2" t="s">
        <v>7</v>
      </c>
      <c r="C40" s="3">
        <f t="shared" ref="C40:C74" si="4">AVERAGE(D2,I2,N2)</f>
        <v>149.337477</v>
      </c>
    </row>
    <row r="41" ht="12.75" customHeight="1">
      <c r="B41" s="2" t="s">
        <v>8</v>
      </c>
      <c r="C41" s="3">
        <f t="shared" si="4"/>
        <v>116.1285021</v>
      </c>
    </row>
    <row r="42" ht="12.75" customHeight="1">
      <c r="B42" s="2" t="s">
        <v>8</v>
      </c>
      <c r="C42" s="3">
        <f t="shared" si="4"/>
        <v>107.2490728</v>
      </c>
    </row>
    <row r="43" ht="12.75" customHeight="1">
      <c r="B43" s="2" t="s">
        <v>7</v>
      </c>
      <c r="C43" s="3">
        <f t="shared" si="4"/>
        <v>180.7877063</v>
      </c>
    </row>
    <row r="44" ht="12.75" customHeight="1">
      <c r="B44" s="2" t="s">
        <v>8</v>
      </c>
      <c r="C44" s="3">
        <f t="shared" si="4"/>
        <v>174.9850798</v>
      </c>
    </row>
    <row r="45" ht="12.75" customHeight="1">
      <c r="B45" s="2" t="s">
        <v>8</v>
      </c>
      <c r="C45" s="3">
        <f t="shared" si="4"/>
        <v>177.4817052</v>
      </c>
    </row>
    <row r="46" ht="12.75" customHeight="1">
      <c r="B46" s="2" t="s">
        <v>7</v>
      </c>
      <c r="C46" s="3">
        <f t="shared" si="4"/>
        <v>188.5113977</v>
      </c>
    </row>
    <row r="47" ht="12.75" customHeight="1">
      <c r="B47" s="2" t="s">
        <v>8</v>
      </c>
      <c r="C47" s="3">
        <f t="shared" si="4"/>
        <v>176.3424727</v>
      </c>
    </row>
    <row r="48" ht="12.75" customHeight="1">
      <c r="B48" s="2" t="s">
        <v>8</v>
      </c>
      <c r="C48" s="3">
        <f t="shared" si="4"/>
        <v>169.608703</v>
      </c>
    </row>
    <row r="49" ht="12.75" customHeight="1">
      <c r="B49" s="2" t="s">
        <v>7</v>
      </c>
      <c r="C49" s="3">
        <f t="shared" si="4"/>
        <v>188.8730107</v>
      </c>
    </row>
    <row r="50" ht="12.75" customHeight="1">
      <c r="B50" s="2" t="s">
        <v>8</v>
      </c>
      <c r="C50" s="3">
        <f t="shared" si="4"/>
        <v>167.5943478</v>
      </c>
    </row>
    <row r="51" ht="12.75" customHeight="1">
      <c r="B51" s="2" t="s">
        <v>8</v>
      </c>
      <c r="C51" s="3">
        <f t="shared" si="4"/>
        <v>156.345328</v>
      </c>
    </row>
    <row r="52" ht="12.75" customHeight="1">
      <c r="B52" s="2" t="s">
        <v>7</v>
      </c>
      <c r="C52" s="3">
        <f t="shared" si="4"/>
        <v>191.0506494</v>
      </c>
    </row>
    <row r="53" ht="12.75" customHeight="1">
      <c r="B53" s="2" t="s">
        <v>8</v>
      </c>
      <c r="C53" s="3">
        <f t="shared" si="4"/>
        <v>173.9874233</v>
      </c>
    </row>
    <row r="54" ht="12.75" customHeight="1">
      <c r="B54" s="2" t="s">
        <v>8</v>
      </c>
      <c r="C54" s="3">
        <f t="shared" si="4"/>
        <v>178.2040872</v>
      </c>
    </row>
    <row r="55" ht="12.75" customHeight="1">
      <c r="B55" s="2" t="s">
        <v>7</v>
      </c>
      <c r="C55" s="3">
        <f t="shared" si="4"/>
        <v>182.7214329</v>
      </c>
    </row>
    <row r="56" ht="12.75" customHeight="1">
      <c r="B56" s="2" t="s">
        <v>8</v>
      </c>
      <c r="C56" s="3">
        <f t="shared" si="4"/>
        <v>179.7501065</v>
      </c>
    </row>
    <row r="57" ht="12.75" customHeight="1">
      <c r="B57" s="2" t="s">
        <v>8</v>
      </c>
      <c r="C57" s="3">
        <f t="shared" si="4"/>
        <v>155.7832871</v>
      </c>
    </row>
    <row r="58" ht="12.75" customHeight="1">
      <c r="B58" s="2" t="s">
        <v>7</v>
      </c>
      <c r="C58" s="3">
        <f t="shared" si="4"/>
        <v>179.2878439</v>
      </c>
    </row>
    <row r="59" ht="12.75" customHeight="1">
      <c r="B59" s="2" t="s">
        <v>8</v>
      </c>
      <c r="C59" s="3">
        <f t="shared" si="4"/>
        <v>167.713278</v>
      </c>
    </row>
    <row r="60" ht="12.75" customHeight="1">
      <c r="B60" s="2" t="s">
        <v>8</v>
      </c>
      <c r="C60" s="3">
        <f t="shared" si="4"/>
        <v>159.861081</v>
      </c>
    </row>
    <row r="61" ht="12.75" customHeight="1">
      <c r="B61" s="2" t="s">
        <v>7</v>
      </c>
      <c r="C61" s="3">
        <f t="shared" si="4"/>
        <v>184.6384497</v>
      </c>
    </row>
    <row r="62" ht="12.75" customHeight="1">
      <c r="B62" s="2" t="s">
        <v>8</v>
      </c>
      <c r="C62" s="3">
        <f t="shared" si="4"/>
        <v>185.2928249</v>
      </c>
    </row>
    <row r="63" ht="12.75" customHeight="1">
      <c r="B63" s="2" t="s">
        <v>8</v>
      </c>
      <c r="C63" s="3">
        <f t="shared" si="4"/>
        <v>148.3896859</v>
      </c>
    </row>
    <row r="64" ht="12.75" customHeight="1">
      <c r="B64" s="2" t="s">
        <v>7</v>
      </c>
      <c r="C64" s="3">
        <f t="shared" si="4"/>
        <v>107.0537205</v>
      </c>
    </row>
    <row r="65" ht="12.75" customHeight="1">
      <c r="B65" s="2" t="s">
        <v>9</v>
      </c>
      <c r="C65" s="3">
        <f t="shared" si="4"/>
        <v>187.0708249</v>
      </c>
    </row>
    <row r="66" ht="12.75" customHeight="1">
      <c r="B66" s="2" t="s">
        <v>7</v>
      </c>
      <c r="C66" s="3">
        <f t="shared" si="4"/>
        <v>114.0297462</v>
      </c>
    </row>
    <row r="67" ht="12.75" customHeight="1">
      <c r="B67" s="2" t="s">
        <v>10</v>
      </c>
      <c r="C67" s="3">
        <f t="shared" si="4"/>
        <v>161.1206866</v>
      </c>
    </row>
    <row r="68" ht="12.75" customHeight="1">
      <c r="B68" s="2" t="s">
        <v>11</v>
      </c>
      <c r="C68" s="3">
        <f t="shared" si="4"/>
        <v>171.3702341</v>
      </c>
    </row>
    <row r="69" ht="12.75" customHeight="1">
      <c r="B69" s="2" t="s">
        <v>8</v>
      </c>
      <c r="C69" s="3">
        <f t="shared" si="4"/>
        <v>169.8566879</v>
      </c>
    </row>
    <row r="70" ht="12.75" customHeight="1">
      <c r="B70" s="2" t="s">
        <v>12</v>
      </c>
      <c r="C70" s="3">
        <f t="shared" si="4"/>
        <v>161.0234214</v>
      </c>
    </row>
    <row r="71" ht="12.75" customHeight="1">
      <c r="B71" s="2" t="s">
        <v>13</v>
      </c>
      <c r="C71" s="3">
        <f t="shared" si="4"/>
        <v>194.5018583</v>
      </c>
    </row>
    <row r="72" ht="12.75" customHeight="1">
      <c r="B72" s="2" t="s">
        <v>8</v>
      </c>
      <c r="C72" s="3">
        <f t="shared" si="4"/>
        <v>162.7379084</v>
      </c>
    </row>
    <row r="73" ht="12.75" customHeight="1">
      <c r="B73" s="2" t="s">
        <v>14</v>
      </c>
      <c r="C73" s="3">
        <f t="shared" si="4"/>
        <v>145.0221593</v>
      </c>
    </row>
    <row r="74" ht="12.75" customHeight="1">
      <c r="B74" s="2" t="s">
        <v>15</v>
      </c>
      <c r="C74" s="3">
        <f t="shared" si="4"/>
        <v>143.3384908</v>
      </c>
    </row>
    <row r="75" ht="12.75" customHeight="1">
      <c r="K75" s="2" t="s">
        <v>17</v>
      </c>
      <c r="L75" s="2" t="s">
        <v>17</v>
      </c>
    </row>
    <row r="76" ht="12.75" customHeight="1">
      <c r="I76" s="2">
        <v>-77.1282196044922</v>
      </c>
      <c r="J76" s="2">
        <v>154.126708984375</v>
      </c>
      <c r="K76" s="3">
        <f t="shared" ref="K76:L76" si="5">STDEV(I76:I151)</f>
        <v>12.12059777</v>
      </c>
      <c r="L76" s="3">
        <f t="shared" si="5"/>
        <v>13.85618139</v>
      </c>
      <c r="P76" s="2">
        <v>18.43</v>
      </c>
      <c r="Q76" s="2">
        <v>0.0</v>
      </c>
    </row>
    <row r="77" ht="12.75" customHeight="1">
      <c r="I77" s="2">
        <v>-41.8552551269531</v>
      </c>
      <c r="J77" s="2">
        <v>145.251800537109</v>
      </c>
      <c r="P77" s="2">
        <v>18.43</v>
      </c>
      <c r="Q77" s="2">
        <v>1.0</v>
      </c>
    </row>
    <row r="78" ht="12.75" customHeight="1">
      <c r="I78" s="2">
        <v>-81.6529693603516</v>
      </c>
      <c r="J78" s="2">
        <v>165.796173095703</v>
      </c>
      <c r="P78" s="2">
        <v>18.43</v>
      </c>
      <c r="Q78" s="2">
        <v>2.0</v>
      </c>
    </row>
    <row r="79" ht="12.75" customHeight="1">
      <c r="I79" s="2">
        <v>-60.0260925292969</v>
      </c>
      <c r="J79" s="2">
        <v>161.60563659668</v>
      </c>
      <c r="P79" s="2">
        <v>18.43</v>
      </c>
      <c r="Q79" s="2">
        <v>3.0</v>
      </c>
    </row>
    <row r="80" ht="12.75" customHeight="1">
      <c r="I80" s="2">
        <v>-76.0363998413086</v>
      </c>
      <c r="J80" s="2">
        <v>162.884902954102</v>
      </c>
      <c r="P80" s="2">
        <v>18.43</v>
      </c>
      <c r="Q80" s="2">
        <v>4.0</v>
      </c>
    </row>
    <row r="81" ht="12.75" customHeight="1">
      <c r="I81" s="2">
        <v>-64.1316909790039</v>
      </c>
      <c r="J81" s="2">
        <v>163.081893920898</v>
      </c>
      <c r="P81" s="2">
        <v>18.43</v>
      </c>
      <c r="Q81" s="2">
        <v>5.0</v>
      </c>
    </row>
    <row r="82" ht="12.75" customHeight="1">
      <c r="I82" s="2">
        <v>-74.1313171386719</v>
      </c>
      <c r="J82" s="2">
        <v>176.835678100586</v>
      </c>
      <c r="P82" s="2">
        <v>18.43</v>
      </c>
      <c r="Q82" s="2">
        <v>6.0</v>
      </c>
    </row>
    <row r="83" ht="12.75" customHeight="1">
      <c r="I83" s="2">
        <v>-60.3967742919922</v>
      </c>
      <c r="J83" s="2">
        <v>166.620346069336</v>
      </c>
      <c r="P83" s="2">
        <v>18.43</v>
      </c>
      <c r="Q83" s="2">
        <v>7.0</v>
      </c>
    </row>
    <row r="84" ht="12.75" customHeight="1">
      <c r="I84" s="2">
        <v>-86.8439559936524</v>
      </c>
      <c r="J84" s="2">
        <v>167.107315063477</v>
      </c>
      <c r="P84" s="2">
        <v>18.43</v>
      </c>
      <c r="Q84" s="2">
        <v>8.0</v>
      </c>
    </row>
    <row r="85" ht="12.75" customHeight="1">
      <c r="I85" s="2">
        <v>-73.8429794311523</v>
      </c>
      <c r="J85" s="2">
        <v>153.528656005859</v>
      </c>
      <c r="P85" s="2">
        <v>18.43</v>
      </c>
      <c r="Q85" s="2">
        <v>9.0</v>
      </c>
    </row>
    <row r="86" ht="12.75" customHeight="1">
      <c r="I86" s="2">
        <v>-52.2417984008789</v>
      </c>
      <c r="J86" s="2">
        <v>154.274353027344</v>
      </c>
      <c r="P86" s="2">
        <v>18.43</v>
      </c>
      <c r="Q86" s="2">
        <v>10.0</v>
      </c>
    </row>
    <row r="87" ht="12.75" customHeight="1">
      <c r="I87" s="2">
        <v>-85.369743347168</v>
      </c>
      <c r="J87" s="2">
        <v>153.208145141602</v>
      </c>
      <c r="P87" s="2">
        <v>18.43</v>
      </c>
      <c r="Q87" s="2">
        <v>11.0</v>
      </c>
    </row>
    <row r="88" ht="12.75" customHeight="1">
      <c r="I88" s="2">
        <v>-59.6107902526856</v>
      </c>
      <c r="J88" s="2">
        <v>168.351974487305</v>
      </c>
      <c r="P88" s="2">
        <v>18.43</v>
      </c>
      <c r="Q88" s="2">
        <v>12.0</v>
      </c>
    </row>
    <row r="89" ht="12.75" customHeight="1">
      <c r="I89" s="2">
        <v>-76.1936111450195</v>
      </c>
      <c r="J89" s="2">
        <v>165.969635009766</v>
      </c>
      <c r="P89" s="2">
        <v>18.43</v>
      </c>
      <c r="Q89" s="2">
        <v>13.0</v>
      </c>
    </row>
    <row r="90" ht="12.75" customHeight="1">
      <c r="I90" s="2">
        <v>-61.1564826965332</v>
      </c>
      <c r="J90" s="2">
        <v>170.762252807617</v>
      </c>
      <c r="P90" s="2">
        <v>18.43</v>
      </c>
      <c r="Q90" s="2">
        <v>14.0</v>
      </c>
    </row>
    <row r="91" ht="12.75" customHeight="1">
      <c r="I91" s="2">
        <v>-61.5073165893555</v>
      </c>
      <c r="J91" s="2">
        <v>148.881546020508</v>
      </c>
      <c r="P91" s="2">
        <v>18.43</v>
      </c>
      <c r="Q91" s="2">
        <v>15.0</v>
      </c>
    </row>
    <row r="92" ht="12.75" customHeight="1">
      <c r="I92" s="2">
        <v>-86.2508697509766</v>
      </c>
      <c r="J92" s="2">
        <v>161.797409057617</v>
      </c>
      <c r="P92" s="2">
        <v>18.43</v>
      </c>
      <c r="Q92" s="2">
        <v>16.0</v>
      </c>
    </row>
    <row r="93" ht="12.75" customHeight="1">
      <c r="I93" s="2">
        <v>-79.3784790039063</v>
      </c>
      <c r="J93" s="2">
        <v>158.822402954102</v>
      </c>
      <c r="P93" s="2">
        <v>18.43</v>
      </c>
      <c r="Q93" s="2">
        <v>17.0</v>
      </c>
    </row>
    <row r="94" ht="12.75" customHeight="1">
      <c r="I94" s="2">
        <v>-69.891357421875</v>
      </c>
      <c r="J94" s="2">
        <v>154.035797119141</v>
      </c>
      <c r="P94" s="2">
        <v>18.43</v>
      </c>
      <c r="Q94" s="2">
        <v>18.0</v>
      </c>
    </row>
    <row r="95" ht="12.75" customHeight="1">
      <c r="I95" s="2">
        <v>-88.1945343017578</v>
      </c>
      <c r="J95" s="2">
        <v>120.527061462402</v>
      </c>
      <c r="P95" s="2">
        <v>18.43</v>
      </c>
      <c r="Q95" s="2">
        <v>19.0</v>
      </c>
    </row>
    <row r="96" ht="12.75" customHeight="1">
      <c r="I96" s="2">
        <v>-70.7838973999023</v>
      </c>
      <c r="J96" s="2">
        <v>142.86848449707</v>
      </c>
      <c r="P96" s="2">
        <v>18.43</v>
      </c>
      <c r="Q96" s="2">
        <v>20.0</v>
      </c>
    </row>
    <row r="97" ht="12.75" customHeight="1">
      <c r="I97" s="2">
        <v>-51.7989540100098</v>
      </c>
      <c r="J97" s="2">
        <v>146.630432128906</v>
      </c>
      <c r="P97" s="2">
        <v>18.43</v>
      </c>
      <c r="Q97" s="2">
        <v>21.0</v>
      </c>
    </row>
    <row r="98" ht="12.75" customHeight="1">
      <c r="I98" s="2">
        <v>-77.6923065185547</v>
      </c>
      <c r="J98" s="2">
        <v>178.091293334961</v>
      </c>
      <c r="P98" s="2">
        <v>18.43</v>
      </c>
      <c r="Q98" s="2">
        <v>22.0</v>
      </c>
    </row>
    <row r="99" ht="12.75" customHeight="1">
      <c r="I99" s="2">
        <v>-68.5782165527344</v>
      </c>
      <c r="J99" s="2">
        <v>156.852462768555</v>
      </c>
      <c r="P99" s="2">
        <v>18.43</v>
      </c>
      <c r="Q99" s="2">
        <v>23.0</v>
      </c>
    </row>
    <row r="100" ht="12.75" customHeight="1">
      <c r="I100" s="2">
        <v>-83.2979888916016</v>
      </c>
      <c r="J100" s="2">
        <v>136.859817504883</v>
      </c>
      <c r="P100" s="2">
        <v>18.43</v>
      </c>
      <c r="Q100" s="2">
        <v>24.0</v>
      </c>
    </row>
    <row r="101" ht="12.75" customHeight="1">
      <c r="I101" s="2">
        <v>-46.9076271057129</v>
      </c>
      <c r="J101" s="2">
        <v>151.069091796875</v>
      </c>
      <c r="P101" s="2">
        <v>18.43</v>
      </c>
      <c r="Q101" s="2">
        <v>25.0</v>
      </c>
    </row>
    <row r="102" ht="12.75" customHeight="1">
      <c r="I102" s="2">
        <v>-75.6028823852539</v>
      </c>
      <c r="J102" s="2">
        <v>165.652069091797</v>
      </c>
      <c r="P102" s="2">
        <v>18.43</v>
      </c>
      <c r="Q102" s="2">
        <v>26.0</v>
      </c>
    </row>
    <row r="103" ht="12.75" customHeight="1">
      <c r="I103" s="2">
        <v>-79.509521484375</v>
      </c>
      <c r="J103" s="2">
        <v>150.369216918945</v>
      </c>
      <c r="P103" s="2">
        <v>18.43</v>
      </c>
      <c r="Q103" s="2">
        <v>27.0</v>
      </c>
    </row>
    <row r="104" ht="12.75" customHeight="1">
      <c r="I104" s="2">
        <v>-48.8956680297852</v>
      </c>
      <c r="J104" s="2">
        <v>165.384948730469</v>
      </c>
      <c r="P104" s="2">
        <v>18.43</v>
      </c>
      <c r="Q104" s="2">
        <v>28.0</v>
      </c>
    </row>
    <row r="105" ht="12.75" customHeight="1">
      <c r="I105" s="2">
        <v>-78.4874114990234</v>
      </c>
      <c r="J105" s="2">
        <v>174.664642333984</v>
      </c>
      <c r="P105" s="2">
        <v>18.43</v>
      </c>
      <c r="Q105" s="2">
        <v>29.0</v>
      </c>
    </row>
    <row r="106" ht="12.75" customHeight="1">
      <c r="I106" s="2">
        <v>-68.9139251708984</v>
      </c>
      <c r="J106" s="2">
        <v>165.16828918457</v>
      </c>
      <c r="P106" s="2">
        <v>18.43</v>
      </c>
      <c r="Q106" s="2">
        <v>30.0</v>
      </c>
    </row>
    <row r="107" ht="12.75" customHeight="1">
      <c r="I107" s="2">
        <v>-48.5635070800781</v>
      </c>
      <c r="J107" s="2">
        <v>151.86296081543</v>
      </c>
      <c r="P107" s="2">
        <v>18.43</v>
      </c>
      <c r="Q107" s="2">
        <v>31.0</v>
      </c>
    </row>
    <row r="108" ht="12.75" customHeight="1">
      <c r="I108" s="2">
        <v>-88.5270538330078</v>
      </c>
      <c r="J108" s="2">
        <v>141.80419921875</v>
      </c>
      <c r="P108" s="2">
        <v>18.43</v>
      </c>
      <c r="Q108" s="2">
        <v>32.0</v>
      </c>
    </row>
    <row r="109" ht="12.75" customHeight="1">
      <c r="I109" s="2">
        <v>-43.0050773620606</v>
      </c>
      <c r="J109" s="2">
        <v>151.100372314453</v>
      </c>
      <c r="P109" s="2">
        <v>18.43</v>
      </c>
      <c r="Q109" s="2">
        <v>33.0</v>
      </c>
    </row>
    <row r="110" ht="12.75" customHeight="1">
      <c r="I110" s="2">
        <v>-89.9399948120117</v>
      </c>
      <c r="J110" s="2">
        <v>176.075347900391</v>
      </c>
      <c r="P110" s="2">
        <v>18.43</v>
      </c>
      <c r="Q110" s="2">
        <v>34.0</v>
      </c>
    </row>
    <row r="111" ht="12.75" customHeight="1">
      <c r="I111" s="2">
        <v>-60.2592887878418</v>
      </c>
      <c r="J111" s="2">
        <v>163.903442382813</v>
      </c>
      <c r="P111" s="2">
        <v>18.43</v>
      </c>
      <c r="Q111" s="2">
        <v>35.0</v>
      </c>
    </row>
    <row r="112" ht="12.75" customHeight="1">
      <c r="I112" s="2">
        <v>-78.3324737548828</v>
      </c>
      <c r="J112" s="2">
        <v>153.305740356445</v>
      </c>
      <c r="P112" s="2">
        <v>18.43</v>
      </c>
      <c r="Q112" s="2">
        <v>36.0</v>
      </c>
    </row>
    <row r="113" ht="12.75" customHeight="1">
      <c r="I113" s="2">
        <v>-55.1516876220703</v>
      </c>
      <c r="J113" s="2">
        <v>162.542556762695</v>
      </c>
      <c r="P113" s="2">
        <v>18.43</v>
      </c>
      <c r="Q113" s="2">
        <v>37.0</v>
      </c>
    </row>
    <row r="114" ht="12.75" customHeight="1">
      <c r="I114" s="2">
        <v>-58.5908317565918</v>
      </c>
      <c r="J114" s="2">
        <v>175.298141479492</v>
      </c>
      <c r="P114" s="2">
        <v>18.43</v>
      </c>
      <c r="Q114" s="2">
        <v>38.0</v>
      </c>
    </row>
    <row r="115" ht="12.75" customHeight="1">
      <c r="I115" s="2">
        <v>-72.7578277587891</v>
      </c>
      <c r="J115" s="2">
        <v>144.299591064453</v>
      </c>
      <c r="P115" s="2">
        <v>18.43</v>
      </c>
      <c r="Q115" s="2">
        <v>39.0</v>
      </c>
    </row>
    <row r="116" ht="12.75" customHeight="1">
      <c r="I116" s="2">
        <v>-58.4545669555664</v>
      </c>
      <c r="J116" s="2">
        <v>173.024765014648</v>
      </c>
      <c r="P116" s="2">
        <v>18.43</v>
      </c>
    </row>
    <row r="117" ht="12.75" customHeight="1">
      <c r="I117" s="2">
        <v>-74.2065963745117</v>
      </c>
      <c r="J117" s="2">
        <v>142.455841064453</v>
      </c>
      <c r="P117" s="2">
        <v>18.43</v>
      </c>
    </row>
    <row r="118" ht="12.75" customHeight="1">
      <c r="I118" s="2">
        <v>-61.5080795288086</v>
      </c>
      <c r="J118" s="2">
        <v>127.787406921387</v>
      </c>
      <c r="P118" s="2">
        <v>18.43</v>
      </c>
    </row>
    <row r="119" ht="12.75" customHeight="1">
      <c r="I119" s="2">
        <v>-64.8528823852539</v>
      </c>
      <c r="J119" s="2">
        <v>170.347366333008</v>
      </c>
      <c r="P119" s="2">
        <v>18.43</v>
      </c>
    </row>
    <row r="120" ht="12.75" customHeight="1">
      <c r="I120" s="2">
        <v>-76.8709106445313</v>
      </c>
      <c r="J120" s="2">
        <v>174.099472045898</v>
      </c>
      <c r="P120" s="2">
        <v>18.43</v>
      </c>
    </row>
    <row r="121" ht="12.75" customHeight="1">
      <c r="I121" s="2">
        <v>-82.6015853881836</v>
      </c>
      <c r="J121" s="2">
        <v>166.412536621094</v>
      </c>
      <c r="P121" s="2">
        <v>18.43</v>
      </c>
    </row>
    <row r="122" ht="12.75" customHeight="1">
      <c r="I122" s="2">
        <v>-82.6387405395508</v>
      </c>
      <c r="J122" s="2">
        <v>117.045303344727</v>
      </c>
      <c r="P122" s="2">
        <v>18.43</v>
      </c>
    </row>
    <row r="123" ht="12.75" customHeight="1">
      <c r="I123" s="2">
        <v>-48.8633117675781</v>
      </c>
      <c r="J123" s="2">
        <v>162.517425537109</v>
      </c>
      <c r="P123" s="2">
        <v>18.43</v>
      </c>
    </row>
    <row r="124" ht="12.75" customHeight="1">
      <c r="I124" s="2">
        <v>-49.3083839416504</v>
      </c>
      <c r="J124" s="2">
        <v>139.692489624023</v>
      </c>
      <c r="P124" s="2">
        <v>18.43</v>
      </c>
    </row>
    <row r="125" ht="12.75" customHeight="1">
      <c r="I125" s="2">
        <v>-62.9070739746094</v>
      </c>
      <c r="J125" s="2">
        <v>154.60481262207</v>
      </c>
      <c r="P125" s="2">
        <v>18.43</v>
      </c>
    </row>
    <row r="126" ht="12.75" customHeight="1">
      <c r="I126" s="2">
        <v>-68.0514450073242</v>
      </c>
      <c r="J126" s="2">
        <v>129.02326965332</v>
      </c>
      <c r="P126" s="2">
        <v>18.43</v>
      </c>
    </row>
    <row r="127" ht="12.75" customHeight="1">
      <c r="I127" s="2">
        <v>-48.9931144714356</v>
      </c>
      <c r="J127" s="2">
        <v>168.483032226563</v>
      </c>
    </row>
    <row r="128" ht="12.75" customHeight="1">
      <c r="I128" s="2">
        <v>-71.6599044799805</v>
      </c>
      <c r="J128" s="2">
        <v>167.805221557617</v>
      </c>
    </row>
    <row r="129" ht="12.75" customHeight="1">
      <c r="I129" s="2">
        <v>-55.1254844665527</v>
      </c>
      <c r="J129" s="2">
        <v>171.587783813477</v>
      </c>
    </row>
    <row r="130" ht="12.75" customHeight="1">
      <c r="I130" s="2">
        <v>-79.6146774291992</v>
      </c>
      <c r="J130" s="2">
        <v>136.838195800781</v>
      </c>
    </row>
    <row r="131" ht="12.75" customHeight="1">
      <c r="I131" s="2">
        <v>-45.9745407104492</v>
      </c>
      <c r="J131" s="2">
        <v>165.905960083008</v>
      </c>
    </row>
    <row r="132" ht="12.75" customHeight="1">
      <c r="I132" s="2">
        <v>-79.0694122314453</v>
      </c>
      <c r="J132" s="2">
        <v>166.514755249023</v>
      </c>
    </row>
    <row r="133" ht="12.75" customHeight="1">
      <c r="I133" s="2">
        <v>-72.4717025756836</v>
      </c>
      <c r="J133" s="2">
        <v>148.51091003418</v>
      </c>
    </row>
    <row r="134" ht="12.75" customHeight="1">
      <c r="I134" s="2">
        <v>-59.9889450073242</v>
      </c>
      <c r="J134" s="2">
        <v>136.450668334961</v>
      </c>
    </row>
    <row r="135" ht="12.75" customHeight="1">
      <c r="I135" s="2">
        <v>-58.1249351501465</v>
      </c>
      <c r="J135" s="2">
        <v>175.572677612305</v>
      </c>
    </row>
    <row r="136" ht="12.75" customHeight="1">
      <c r="I136" s="2">
        <v>-65.2673645019531</v>
      </c>
      <c r="J136" s="2">
        <v>159.076507568359</v>
      </c>
    </row>
    <row r="137" ht="12.75" customHeight="1">
      <c r="I137" s="2">
        <v>-57.9224014282227</v>
      </c>
      <c r="J137" s="2">
        <v>174.497299194336</v>
      </c>
    </row>
    <row r="138" ht="12.75" customHeight="1">
      <c r="I138" s="2">
        <v>-81.5540390014649</v>
      </c>
      <c r="J138" s="2">
        <v>175.911102294922</v>
      </c>
    </row>
    <row r="139" ht="12.75" customHeight="1">
      <c r="I139" s="2">
        <v>-74.731575012207</v>
      </c>
      <c r="J139" s="2">
        <v>156.066833496094</v>
      </c>
    </row>
    <row r="140" ht="12.75" customHeight="1">
      <c r="I140" s="2">
        <v>-57.8767700195313</v>
      </c>
      <c r="J140" s="2">
        <v>132.576049804688</v>
      </c>
    </row>
    <row r="141" ht="12.75" customHeight="1">
      <c r="I141" s="2">
        <v>-59.4319953918457</v>
      </c>
      <c r="J141" s="2">
        <v>161.278259277344</v>
      </c>
    </row>
    <row r="142" ht="12.75" customHeight="1">
      <c r="I142" s="2">
        <v>-65.4666137695313</v>
      </c>
      <c r="J142" s="2">
        <v>151.414123535156</v>
      </c>
    </row>
    <row r="143" ht="12.75" customHeight="1">
      <c r="I143" s="2">
        <v>-63.1443824768066</v>
      </c>
      <c r="J143" s="2">
        <v>156.34309387207</v>
      </c>
    </row>
    <row r="144" ht="12.75" customHeight="1">
      <c r="I144" s="2">
        <v>-75.9960174560547</v>
      </c>
      <c r="J144" s="2">
        <v>172.824920654297</v>
      </c>
    </row>
    <row r="145" ht="12.75" customHeight="1">
      <c r="I145" s="2">
        <v>-66.1500015258789</v>
      </c>
      <c r="J145" s="2">
        <v>158.578765869141</v>
      </c>
    </row>
    <row r="146" ht="12.75" customHeight="1">
      <c r="I146" s="2">
        <v>-61.0041351318359</v>
      </c>
      <c r="J146" s="2">
        <v>150.065093994141</v>
      </c>
    </row>
    <row r="147" ht="12.75" customHeight="1">
      <c r="I147" s="2">
        <v>-68.4489059448242</v>
      </c>
      <c r="J147" s="2">
        <v>148.124145507813</v>
      </c>
    </row>
    <row r="148" ht="12.75" customHeight="1">
      <c r="I148" s="2">
        <v>-64.2216567993164</v>
      </c>
      <c r="J148" s="2">
        <v>153.148376464844</v>
      </c>
    </row>
    <row r="149" ht="12.75" customHeight="1">
      <c r="I149" s="2">
        <v>-60.7855415344238</v>
      </c>
      <c r="J149" s="2">
        <v>145.68244934082</v>
      </c>
    </row>
    <row r="150" ht="12.75" customHeight="1">
      <c r="I150" s="2">
        <v>-78.5653915405274</v>
      </c>
      <c r="J150" s="2">
        <v>174.850204467773</v>
      </c>
    </row>
    <row r="151" ht="12.75" customHeight="1">
      <c r="I151" s="2">
        <v>-63.6789894104004</v>
      </c>
      <c r="J151" s="2">
        <v>156.419998168945</v>
      </c>
    </row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O3:O36"/>
    <mergeCell ref="P3:P36"/>
  </mergeCell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1</v>
      </c>
      <c r="I1" s="1" t="s">
        <v>2</v>
      </c>
      <c r="J1" s="1" t="s">
        <v>3</v>
      </c>
      <c r="K1" s="1"/>
      <c r="L1" s="1" t="s">
        <v>5</v>
      </c>
      <c r="M1" s="1" t="s">
        <v>1</v>
      </c>
      <c r="N1" s="1" t="s">
        <v>2</v>
      </c>
      <c r="O1" s="1" t="s">
        <v>3</v>
      </c>
      <c r="P1" s="1" t="s">
        <v>6</v>
      </c>
      <c r="R1" s="1"/>
    </row>
    <row r="2">
      <c r="A2" s="2"/>
      <c r="B2" s="2" t="s">
        <v>19</v>
      </c>
      <c r="C2" s="13">
        <v>0.0</v>
      </c>
      <c r="D2" s="13">
        <v>86.1021270751953</v>
      </c>
      <c r="E2" s="7">
        <f t="shared" ref="E2:E39" si="1">SQRT((P3 - C2)^2 + (Q3 - D2)^2)</f>
        <v>87.93970322</v>
      </c>
      <c r="G2" s="2" t="s">
        <v>19</v>
      </c>
      <c r="H2" s="13">
        <v>0.0</v>
      </c>
      <c r="I2" s="13">
        <v>107.781364440918</v>
      </c>
      <c r="J2" s="3">
        <f t="shared" ref="J2:J39" si="2">SQRT((P3 - H2)^2 + (Q3 - I2)^2)</f>
        <v>75.91410196</v>
      </c>
      <c r="L2" s="2" t="s">
        <v>19</v>
      </c>
      <c r="M2" s="13">
        <v>0.0</v>
      </c>
      <c r="N2" s="13">
        <v>157.691818237305</v>
      </c>
      <c r="O2" s="3">
        <f t="shared" ref="O2:O39" si="3">SQRT((P3 - M2)^2 + (Q3 - N2)^2)</f>
        <v>69.27936198</v>
      </c>
      <c r="P2" s="1" t="s">
        <v>1</v>
      </c>
      <c r="Q2" s="1" t="s">
        <v>2</v>
      </c>
      <c r="R2" s="1"/>
    </row>
    <row r="3">
      <c r="A3" s="2"/>
      <c r="B3" s="2" t="s">
        <v>7</v>
      </c>
      <c r="C3" s="13">
        <v>-87.511360168457</v>
      </c>
      <c r="D3" s="11">
        <f>-162.969268798828+360</f>
        <v>197.0307312</v>
      </c>
      <c r="E3" s="7">
        <f t="shared" si="1"/>
        <v>58.1693865</v>
      </c>
      <c r="G3" s="2" t="s">
        <v>7</v>
      </c>
      <c r="H3" s="13">
        <v>54.8976135253906</v>
      </c>
      <c r="I3" s="17">
        <f>-170.225936889648+360</f>
        <v>189.7740631</v>
      </c>
      <c r="J3" s="3">
        <f t="shared" si="2"/>
        <v>131.3136729</v>
      </c>
      <c r="L3" s="2" t="s">
        <v>7</v>
      </c>
      <c r="M3" s="13">
        <v>-80.1949005126953</v>
      </c>
      <c r="N3" s="19">
        <v>151.438873291016</v>
      </c>
      <c r="O3" s="3">
        <f t="shared" si="3"/>
        <v>15.53643796</v>
      </c>
      <c r="P3" s="18">
        <v>-67.56770744323731</v>
      </c>
      <c r="Q3" s="18">
        <v>142.3870834350585</v>
      </c>
    </row>
    <row r="4">
      <c r="A4" s="2"/>
      <c r="B4" s="2" t="s">
        <v>8</v>
      </c>
      <c r="C4" s="13">
        <v>-47.3944473266602</v>
      </c>
      <c r="D4" s="13">
        <v>158.770248413086</v>
      </c>
      <c r="E4" s="7">
        <f t="shared" si="1"/>
        <v>25.98785329</v>
      </c>
      <c r="G4" s="2" t="s">
        <v>8</v>
      </c>
      <c r="H4" s="13">
        <v>-40.8597640991211</v>
      </c>
      <c r="I4" s="13">
        <v>157.579315185547</v>
      </c>
      <c r="J4" s="3">
        <f t="shared" si="2"/>
        <v>30.72650555</v>
      </c>
      <c r="L4" s="2" t="s">
        <v>8</v>
      </c>
      <c r="M4" s="13">
        <v>-49.7310028076172</v>
      </c>
      <c r="N4" s="13">
        <v>143.997512817383</v>
      </c>
      <c r="O4" s="3">
        <f t="shared" si="3"/>
        <v>17.9092578</v>
      </c>
      <c r="P4" s="18">
        <v>-67.56770744323731</v>
      </c>
      <c r="Q4" s="18">
        <v>142.3870834350585</v>
      </c>
    </row>
    <row r="5">
      <c r="A5" s="2"/>
      <c r="B5" s="2" t="s">
        <v>20</v>
      </c>
      <c r="C5" s="13">
        <v>84.3730316162109</v>
      </c>
      <c r="D5" s="13">
        <v>15.533296585083</v>
      </c>
      <c r="E5" s="7">
        <f t="shared" si="1"/>
        <v>197.9340078</v>
      </c>
      <c r="G5" s="2" t="s">
        <v>20</v>
      </c>
      <c r="H5" s="13">
        <v>53.1127090454102</v>
      </c>
      <c r="I5" s="13">
        <v>57.8137550354004</v>
      </c>
      <c r="J5" s="3">
        <f t="shared" si="2"/>
        <v>147.36489</v>
      </c>
      <c r="K5" s="2"/>
      <c r="L5" s="2" t="s">
        <v>20</v>
      </c>
      <c r="M5" s="13">
        <v>-95.2616806030273</v>
      </c>
      <c r="N5" s="13">
        <v>9.23953533172607</v>
      </c>
      <c r="O5" s="3">
        <f t="shared" si="3"/>
        <v>135.9971533</v>
      </c>
      <c r="P5" s="18">
        <v>-67.56770744323731</v>
      </c>
      <c r="Q5" s="18">
        <v>142.3870834350585</v>
      </c>
    </row>
    <row r="6">
      <c r="A6" s="2"/>
      <c r="B6" s="2" t="s">
        <v>7</v>
      </c>
      <c r="C6" s="13">
        <v>-69.2893371582031</v>
      </c>
      <c r="D6" s="19">
        <v>171.548706054688</v>
      </c>
      <c r="E6" s="7">
        <f t="shared" si="1"/>
        <v>29.21239878</v>
      </c>
      <c r="G6" s="2" t="s">
        <v>7</v>
      </c>
      <c r="H6" s="13">
        <v>-78.1754837036133</v>
      </c>
      <c r="I6" s="19">
        <v>175.197189331055</v>
      </c>
      <c r="J6" s="3">
        <f t="shared" si="2"/>
        <v>34.48228482</v>
      </c>
      <c r="K6" s="2"/>
      <c r="L6" s="2" t="s">
        <v>7</v>
      </c>
      <c r="M6" s="13">
        <v>64.0551834106445</v>
      </c>
      <c r="N6" s="17">
        <f>-161.42561340332+360</f>
        <v>198.5743866</v>
      </c>
      <c r="O6" s="3">
        <f t="shared" si="3"/>
        <v>143.1139351</v>
      </c>
      <c r="P6" s="18">
        <v>-67.56770744323731</v>
      </c>
      <c r="Q6" s="18">
        <v>142.3870834350585</v>
      </c>
    </row>
    <row r="7">
      <c r="A7" s="2"/>
      <c r="B7" s="2" t="s">
        <v>8</v>
      </c>
      <c r="C7" s="13">
        <v>-53.2483062744141</v>
      </c>
      <c r="D7" s="13">
        <v>140.292694091797</v>
      </c>
      <c r="E7" s="7">
        <f t="shared" si="1"/>
        <v>14.47175582</v>
      </c>
      <c r="G7" s="2" t="s">
        <v>8</v>
      </c>
      <c r="H7" s="13">
        <v>-62.5506019592285</v>
      </c>
      <c r="I7" s="13">
        <v>156.157913208008</v>
      </c>
      <c r="J7" s="3">
        <f t="shared" si="2"/>
        <v>14.65629899</v>
      </c>
      <c r="K7" s="2"/>
      <c r="L7" s="2" t="s">
        <v>8</v>
      </c>
      <c r="M7" s="13">
        <v>-57.580249786377</v>
      </c>
      <c r="N7" s="13">
        <v>136.489486694336</v>
      </c>
      <c r="O7" s="3">
        <f t="shared" si="3"/>
        <v>11.59874811</v>
      </c>
      <c r="P7" s="18">
        <v>-67.56770744323731</v>
      </c>
      <c r="Q7" s="18">
        <v>142.3870834350585</v>
      </c>
    </row>
    <row r="8">
      <c r="A8" s="2"/>
      <c r="B8" s="2" t="s">
        <v>20</v>
      </c>
      <c r="C8" s="13">
        <v>-42.3599586486816</v>
      </c>
      <c r="D8" s="13">
        <v>134.385848999023</v>
      </c>
      <c r="E8" s="7">
        <f t="shared" si="1"/>
        <v>26.4471237</v>
      </c>
      <c r="G8" s="2" t="s">
        <v>20</v>
      </c>
      <c r="H8" s="13">
        <v>-146.310791015625</v>
      </c>
      <c r="I8" s="13">
        <v>144.844177246094</v>
      </c>
      <c r="J8" s="3">
        <f t="shared" si="2"/>
        <v>78.78140974</v>
      </c>
      <c r="K8" s="2"/>
      <c r="L8" s="2" t="s">
        <v>20</v>
      </c>
      <c r="M8" s="13">
        <v>-56.0452499389649</v>
      </c>
      <c r="N8" s="13">
        <v>153.353149414063</v>
      </c>
      <c r="O8" s="3">
        <f t="shared" si="3"/>
        <v>15.90665364</v>
      </c>
      <c r="P8" s="18">
        <v>-67.56770744323731</v>
      </c>
      <c r="Q8" s="18">
        <v>142.3870834350585</v>
      </c>
    </row>
    <row r="9">
      <c r="A9" s="2"/>
      <c r="B9" s="2" t="s">
        <v>7</v>
      </c>
      <c r="C9" s="13">
        <v>-57.2669372558594</v>
      </c>
      <c r="D9" s="13">
        <v>174.407989501953</v>
      </c>
      <c r="E9" s="7">
        <f t="shared" si="1"/>
        <v>33.63694831</v>
      </c>
      <c r="G9" s="2" t="s">
        <v>7</v>
      </c>
      <c r="H9" s="13">
        <v>-51.9974670410156</v>
      </c>
      <c r="I9" s="13">
        <v>166.787887573242</v>
      </c>
      <c r="J9" s="3">
        <f t="shared" si="2"/>
        <v>28.94532136</v>
      </c>
      <c r="K9" s="2"/>
      <c r="L9" s="2" t="s">
        <v>7</v>
      </c>
      <c r="M9" s="13">
        <v>-54.7591094970703</v>
      </c>
      <c r="N9" s="13">
        <v>170.113235473633</v>
      </c>
      <c r="O9" s="3">
        <f t="shared" si="3"/>
        <v>30.54176957</v>
      </c>
      <c r="P9" s="18">
        <v>-67.56770744323731</v>
      </c>
      <c r="Q9" s="18">
        <v>142.3870834350585</v>
      </c>
    </row>
    <row r="10">
      <c r="A10" s="2"/>
      <c r="B10" s="2" t="s">
        <v>8</v>
      </c>
      <c r="C10" s="13">
        <v>-58.1515045166016</v>
      </c>
      <c r="D10" s="13">
        <v>142.737350463867</v>
      </c>
      <c r="E10" s="7">
        <f t="shared" si="1"/>
        <v>9.422715349</v>
      </c>
      <c r="G10" s="2" t="s">
        <v>8</v>
      </c>
      <c r="H10" s="13">
        <v>-65.966552734375</v>
      </c>
      <c r="I10" s="13">
        <v>136.770767211914</v>
      </c>
      <c r="J10" s="3">
        <f t="shared" si="2"/>
        <v>5.840094547</v>
      </c>
      <c r="K10" s="2"/>
      <c r="L10" s="2" t="s">
        <v>8</v>
      </c>
      <c r="M10" s="13">
        <v>-50.1856422424316</v>
      </c>
      <c r="N10" s="13">
        <v>145.294723510742</v>
      </c>
      <c r="O10" s="3">
        <f t="shared" si="3"/>
        <v>17.6235797</v>
      </c>
      <c r="P10" s="18">
        <v>-67.56770744323731</v>
      </c>
      <c r="Q10" s="18">
        <v>142.3870834350585</v>
      </c>
    </row>
    <row r="11">
      <c r="A11" s="2"/>
      <c r="B11" s="2" t="s">
        <v>20</v>
      </c>
      <c r="C11" s="13">
        <v>-58.0195617675781</v>
      </c>
      <c r="D11" s="13">
        <v>130.594299316406</v>
      </c>
      <c r="E11" s="7">
        <f t="shared" si="1"/>
        <v>15.17355737</v>
      </c>
      <c r="G11" s="2" t="s">
        <v>20</v>
      </c>
      <c r="H11" s="13">
        <v>-55.3784370422363</v>
      </c>
      <c r="I11" s="13">
        <v>141.731582641602</v>
      </c>
      <c r="J11" s="3">
        <f t="shared" si="2"/>
        <v>12.20688307</v>
      </c>
      <c r="K11" s="2"/>
      <c r="L11" s="2" t="s">
        <v>20</v>
      </c>
      <c r="M11" s="13">
        <v>-58.2676124572754</v>
      </c>
      <c r="N11" s="13">
        <v>144.421005249023</v>
      </c>
      <c r="O11" s="3">
        <f t="shared" si="3"/>
        <v>9.519905708</v>
      </c>
      <c r="P11" s="18">
        <v>-67.5677074432373</v>
      </c>
      <c r="Q11" s="18">
        <v>142.387083435058</v>
      </c>
    </row>
    <row r="12">
      <c r="A12" s="2"/>
      <c r="B12" s="2" t="s">
        <v>7</v>
      </c>
      <c r="C12" s="13">
        <v>-44.1476135253906</v>
      </c>
      <c r="D12" s="13">
        <v>154.695007324219</v>
      </c>
      <c r="E12" s="7">
        <f t="shared" si="1"/>
        <v>26.45724456</v>
      </c>
      <c r="G12" s="2" t="s">
        <v>7</v>
      </c>
      <c r="H12" s="13">
        <v>-66.3283767700195</v>
      </c>
      <c r="I12" s="13">
        <v>151.870544433594</v>
      </c>
      <c r="J12" s="3">
        <f t="shared" si="2"/>
        <v>9.564098129</v>
      </c>
      <c r="K12" s="2"/>
      <c r="L12" s="2" t="s">
        <v>7</v>
      </c>
      <c r="M12" s="13">
        <v>-68.4103546142578</v>
      </c>
      <c r="N12" s="13">
        <v>162.833755493164</v>
      </c>
      <c r="O12" s="3">
        <f t="shared" si="3"/>
        <v>20.46402826</v>
      </c>
      <c r="P12" s="18">
        <v>-67.5677074432373</v>
      </c>
      <c r="Q12" s="18">
        <v>142.387083435058</v>
      </c>
    </row>
    <row r="13">
      <c r="A13" s="2"/>
      <c r="B13" s="2" t="s">
        <v>8</v>
      </c>
      <c r="C13" s="13">
        <v>-60.8059768676758</v>
      </c>
      <c r="D13" s="13">
        <v>148.95588684082</v>
      </c>
      <c r="E13" s="7">
        <f t="shared" si="1"/>
        <v>9.427098099</v>
      </c>
      <c r="G13" s="2" t="s">
        <v>8</v>
      </c>
      <c r="H13" s="13">
        <v>-44.263355255127</v>
      </c>
      <c r="I13" s="13">
        <v>142.041381835938</v>
      </c>
      <c r="J13" s="3">
        <f t="shared" si="2"/>
        <v>23.30691615</v>
      </c>
      <c r="K13" s="2"/>
      <c r="L13" s="2" t="s">
        <v>8</v>
      </c>
      <c r="M13" s="13">
        <v>-37.2329330444336</v>
      </c>
      <c r="N13" s="13">
        <v>146.567291259766</v>
      </c>
      <c r="O13" s="3">
        <f t="shared" si="3"/>
        <v>30.62144143</v>
      </c>
      <c r="P13" s="18">
        <v>-67.5677074432373</v>
      </c>
      <c r="Q13" s="18">
        <v>142.387083435058</v>
      </c>
    </row>
    <row r="14">
      <c r="A14" s="2"/>
      <c r="B14" s="2" t="s">
        <v>20</v>
      </c>
      <c r="C14" s="13">
        <v>-51.8576354980469</v>
      </c>
      <c r="D14" s="13">
        <v>134.859283447266</v>
      </c>
      <c r="E14" s="7">
        <f t="shared" si="1"/>
        <v>17.42050898</v>
      </c>
      <c r="G14" s="2" t="s">
        <v>20</v>
      </c>
      <c r="H14" s="13">
        <v>-51.8651161193848</v>
      </c>
      <c r="I14" s="13">
        <v>128.30241394043</v>
      </c>
      <c r="J14" s="3">
        <f t="shared" si="2"/>
        <v>21.09382111</v>
      </c>
      <c r="K14" s="2"/>
      <c r="L14" s="2" t="s">
        <v>20</v>
      </c>
      <c r="M14" s="13">
        <v>-66.8851547241211</v>
      </c>
      <c r="N14" s="13">
        <v>128.122802734375</v>
      </c>
      <c r="O14" s="3">
        <f t="shared" si="3"/>
        <v>14.2806016</v>
      </c>
      <c r="P14" s="18">
        <v>-67.5677074432373</v>
      </c>
      <c r="Q14" s="18">
        <v>142.387083435058</v>
      </c>
    </row>
    <row r="15">
      <c r="A15" s="2"/>
      <c r="B15" s="2" t="s">
        <v>7</v>
      </c>
      <c r="C15" s="13">
        <v>-63.0408020019531</v>
      </c>
      <c r="D15" s="13">
        <v>175.639541625977</v>
      </c>
      <c r="E15" s="7">
        <f t="shared" si="1"/>
        <v>33.55918427</v>
      </c>
      <c r="G15" s="2" t="s">
        <v>7</v>
      </c>
      <c r="H15" s="13">
        <v>-47.4020042419434</v>
      </c>
      <c r="I15" s="13">
        <v>165.153778076172</v>
      </c>
      <c r="J15" s="3">
        <f t="shared" si="2"/>
        <v>30.41345049</v>
      </c>
      <c r="K15" s="2"/>
      <c r="L15" s="2" t="s">
        <v>7</v>
      </c>
      <c r="M15" s="13">
        <v>-45.3341331481934</v>
      </c>
      <c r="N15" s="13">
        <v>157.892074584961</v>
      </c>
      <c r="O15" s="3">
        <f t="shared" si="3"/>
        <v>27.10602473</v>
      </c>
      <c r="P15" s="18">
        <v>-67.5677074432373</v>
      </c>
      <c r="Q15" s="18">
        <v>142.387083435058</v>
      </c>
    </row>
    <row r="16">
      <c r="A16" s="2"/>
      <c r="B16" s="2" t="s">
        <v>8</v>
      </c>
      <c r="C16" s="13">
        <v>-54.0378074645996</v>
      </c>
      <c r="D16" s="13">
        <v>158.306655883789</v>
      </c>
      <c r="E16" s="7">
        <f t="shared" si="1"/>
        <v>20.89236656</v>
      </c>
      <c r="G16" s="2" t="s">
        <v>8</v>
      </c>
      <c r="H16" s="13">
        <v>-61.5553398132324</v>
      </c>
      <c r="I16" s="13">
        <v>135.533020019531</v>
      </c>
      <c r="J16" s="3">
        <f t="shared" si="2"/>
        <v>9.117387226</v>
      </c>
      <c r="K16" s="2"/>
      <c r="L16" s="2" t="s">
        <v>8</v>
      </c>
      <c r="M16" s="13">
        <v>-37.2903900146484</v>
      </c>
      <c r="N16" s="13">
        <v>141.050994873047</v>
      </c>
      <c r="O16" s="3">
        <f t="shared" si="3"/>
        <v>30.30678279</v>
      </c>
      <c r="P16" s="18">
        <v>-67.5677074432373</v>
      </c>
      <c r="Q16" s="18">
        <v>142.387083435058</v>
      </c>
    </row>
    <row r="17">
      <c r="A17" s="2"/>
      <c r="B17" s="2" t="s">
        <v>21</v>
      </c>
      <c r="C17" s="13">
        <v>-47.6095199584961</v>
      </c>
      <c r="D17" s="13">
        <v>149.160110473633</v>
      </c>
      <c r="E17" s="7">
        <f t="shared" si="1"/>
        <v>21.07612732</v>
      </c>
      <c r="G17" s="2" t="s">
        <v>21</v>
      </c>
      <c r="H17" s="13">
        <v>-31.4464302062988</v>
      </c>
      <c r="I17" s="13">
        <v>128.398010253906</v>
      </c>
      <c r="J17" s="3">
        <f t="shared" si="2"/>
        <v>38.73552423</v>
      </c>
      <c r="K17" s="2"/>
      <c r="L17" s="2" t="s">
        <v>21</v>
      </c>
      <c r="M17" s="13">
        <v>-45.7183036804199</v>
      </c>
      <c r="N17" s="13">
        <v>148.527038574219</v>
      </c>
      <c r="O17" s="3">
        <f t="shared" si="3"/>
        <v>22.69571532</v>
      </c>
      <c r="P17" s="18">
        <v>-67.5677074432373</v>
      </c>
      <c r="Q17" s="18">
        <v>142.387083435058</v>
      </c>
    </row>
    <row r="18">
      <c r="A18" s="2"/>
      <c r="B18" s="2" t="s">
        <v>7</v>
      </c>
      <c r="C18" s="13">
        <v>-78.1463623046875</v>
      </c>
      <c r="D18" s="11">
        <f>-173.96501159668+360</f>
        <v>186.0349884</v>
      </c>
      <c r="E18" s="7">
        <f t="shared" si="1"/>
        <v>44.91155249</v>
      </c>
      <c r="G18" s="2" t="s">
        <v>7</v>
      </c>
      <c r="H18" s="13">
        <v>-58.7531852722168</v>
      </c>
      <c r="I18" s="19">
        <v>176.398513793945</v>
      </c>
      <c r="J18" s="3">
        <f t="shared" si="2"/>
        <v>35.13507074</v>
      </c>
      <c r="K18" s="2"/>
      <c r="L18" s="2" t="s">
        <v>7</v>
      </c>
      <c r="M18" s="13">
        <v>-72.0049819946289</v>
      </c>
      <c r="N18" s="11">
        <f>-172.993270874023+360</f>
        <v>187.0067291</v>
      </c>
      <c r="O18" s="3">
        <f t="shared" si="3"/>
        <v>44.83973893</v>
      </c>
      <c r="P18" s="18">
        <v>-67.5677074432373</v>
      </c>
      <c r="Q18" s="18">
        <v>142.387083435058</v>
      </c>
    </row>
    <row r="19">
      <c r="A19" s="2"/>
      <c r="B19" s="2" t="s">
        <v>8</v>
      </c>
      <c r="C19" s="13">
        <v>-53.9695663452148</v>
      </c>
      <c r="D19" s="13">
        <v>145.74870300293</v>
      </c>
      <c r="E19" s="7">
        <f t="shared" si="1"/>
        <v>14.0074954</v>
      </c>
      <c r="G19" s="2" t="s">
        <v>8</v>
      </c>
      <c r="H19" s="13">
        <v>-67.4703063964844</v>
      </c>
      <c r="I19" s="13">
        <v>156.710067749023</v>
      </c>
      <c r="J19" s="3">
        <f t="shared" si="2"/>
        <v>14.32331549</v>
      </c>
      <c r="K19" s="2"/>
      <c r="L19" s="2" t="s">
        <v>8</v>
      </c>
      <c r="M19" s="13">
        <v>-56.3414535522461</v>
      </c>
      <c r="N19" s="13">
        <v>160.707473754883</v>
      </c>
      <c r="O19" s="3">
        <f t="shared" si="3"/>
        <v>21.48640216</v>
      </c>
      <c r="P19" s="18">
        <v>-67.5677074432374</v>
      </c>
      <c r="Q19" s="18">
        <v>142.387083435058</v>
      </c>
    </row>
    <row r="20">
      <c r="A20" s="2"/>
      <c r="B20" s="2" t="s">
        <v>21</v>
      </c>
      <c r="C20" s="13">
        <v>-40.4816589355469</v>
      </c>
      <c r="D20" s="13">
        <v>138.189971923828</v>
      </c>
      <c r="E20" s="7">
        <f t="shared" si="1"/>
        <v>27.40930077</v>
      </c>
      <c r="G20" s="2" t="s">
        <v>21</v>
      </c>
      <c r="H20" s="13">
        <v>-35.9397583007812</v>
      </c>
      <c r="I20" s="13">
        <v>154.406158447266</v>
      </c>
      <c r="J20" s="3">
        <f t="shared" si="2"/>
        <v>33.83467646</v>
      </c>
      <c r="K20" s="2"/>
      <c r="L20" s="2" t="s">
        <v>21</v>
      </c>
      <c r="M20" s="13">
        <v>-40.8820266723633</v>
      </c>
      <c r="N20" s="13">
        <v>136.391906738281</v>
      </c>
      <c r="O20" s="3">
        <f t="shared" si="3"/>
        <v>27.35082635</v>
      </c>
      <c r="P20" s="18">
        <v>-67.5677074432374</v>
      </c>
      <c r="Q20" s="18">
        <v>142.387083435058</v>
      </c>
    </row>
    <row r="21">
      <c r="A21" s="2"/>
      <c r="B21" s="2" t="s">
        <v>7</v>
      </c>
      <c r="C21" s="13">
        <v>-68.4982528686524</v>
      </c>
      <c r="D21" s="19">
        <v>175.480819702148</v>
      </c>
      <c r="E21" s="7">
        <f t="shared" si="1"/>
        <v>33.10681644</v>
      </c>
      <c r="G21" s="2" t="s">
        <v>7</v>
      </c>
      <c r="H21" s="13">
        <v>-70.0393371582031</v>
      </c>
      <c r="I21" s="19">
        <v>170.835693359375</v>
      </c>
      <c r="J21" s="3">
        <f t="shared" si="2"/>
        <v>28.5557763</v>
      </c>
      <c r="K21" s="2"/>
      <c r="L21" s="2" t="s">
        <v>7</v>
      </c>
      <c r="M21" s="13">
        <v>-76.0008926391602</v>
      </c>
      <c r="N21" s="17">
        <f>-168.21614074707+360</f>
        <v>191.7838593</v>
      </c>
      <c r="O21" s="3">
        <f t="shared" si="3"/>
        <v>50.11147647</v>
      </c>
      <c r="P21" s="18">
        <v>-67.5677074432374</v>
      </c>
      <c r="Q21" s="18">
        <v>142.387083435058</v>
      </c>
    </row>
    <row r="22">
      <c r="A22" s="2"/>
      <c r="B22" s="2" t="s">
        <v>8</v>
      </c>
      <c r="C22" s="13">
        <v>-57.8531227111816</v>
      </c>
      <c r="D22" s="13">
        <v>154.766784667969</v>
      </c>
      <c r="E22" s="7">
        <f t="shared" si="1"/>
        <v>15.73626891</v>
      </c>
      <c r="G22" s="2" t="s">
        <v>8</v>
      </c>
      <c r="H22" s="13">
        <v>-64.1348724365234</v>
      </c>
      <c r="I22" s="13">
        <v>155.649078369141</v>
      </c>
      <c r="J22" s="3">
        <f t="shared" si="2"/>
        <v>13.69908266</v>
      </c>
      <c r="K22" s="2"/>
      <c r="L22" s="2" t="s">
        <v>8</v>
      </c>
      <c r="M22" s="13">
        <v>-85.7331619262695</v>
      </c>
      <c r="N22" s="13">
        <v>161.128433227539</v>
      </c>
      <c r="O22" s="3">
        <f t="shared" si="3"/>
        <v>26.10022852</v>
      </c>
      <c r="P22" s="18">
        <v>-67.5677074432374</v>
      </c>
      <c r="Q22" s="18">
        <v>142.387083435058</v>
      </c>
    </row>
    <row r="23">
      <c r="A23" s="2"/>
      <c r="B23" s="2" t="s">
        <v>21</v>
      </c>
      <c r="C23" s="13">
        <v>-55.2836799621582</v>
      </c>
      <c r="D23" s="13">
        <v>147.250549316406</v>
      </c>
      <c r="E23" s="7">
        <f t="shared" si="1"/>
        <v>13.21176111</v>
      </c>
      <c r="G23" s="2" t="s">
        <v>21</v>
      </c>
      <c r="H23" s="13">
        <v>-56.6425476074219</v>
      </c>
      <c r="I23" s="13">
        <v>143.568344116211</v>
      </c>
      <c r="J23" s="3">
        <f t="shared" si="2"/>
        <v>10.98883498</v>
      </c>
      <c r="K23" s="2"/>
      <c r="L23" s="2" t="s">
        <v>21</v>
      </c>
      <c r="M23" s="13">
        <v>-33.2922286987305</v>
      </c>
      <c r="N23" s="13">
        <v>133.977508544922</v>
      </c>
      <c r="O23" s="3">
        <f t="shared" si="3"/>
        <v>35.2920585</v>
      </c>
      <c r="P23" s="18">
        <v>-67.5677074432374</v>
      </c>
      <c r="Q23" s="18">
        <v>142.387083435058</v>
      </c>
    </row>
    <row r="24">
      <c r="A24" s="2"/>
      <c r="B24" s="2" t="s">
        <v>7</v>
      </c>
      <c r="C24" s="13">
        <v>-65.6215591430664</v>
      </c>
      <c r="D24" s="19">
        <v>173.96923828125</v>
      </c>
      <c r="E24" s="7">
        <f t="shared" si="1"/>
        <v>31.64206058</v>
      </c>
      <c r="G24" s="2" t="s">
        <v>7</v>
      </c>
      <c r="H24" s="13">
        <v>-64.2061386108398</v>
      </c>
      <c r="I24" s="17">
        <f>-171.062850952148+360</f>
        <v>188.937149</v>
      </c>
      <c r="J24" s="3">
        <f t="shared" si="2"/>
        <v>46.67128404</v>
      </c>
      <c r="K24" s="2"/>
      <c r="L24" s="2" t="s">
        <v>7</v>
      </c>
      <c r="M24" s="13">
        <v>-67.9264068603516</v>
      </c>
      <c r="N24" s="11">
        <f>-173.587799072266+360</f>
        <v>186.4122009</v>
      </c>
      <c r="O24" s="3">
        <f t="shared" si="3"/>
        <v>44.02657874</v>
      </c>
      <c r="P24" s="18">
        <v>-67.5677074432374</v>
      </c>
      <c r="Q24" s="18">
        <v>142.387083435058</v>
      </c>
    </row>
    <row r="25">
      <c r="A25" s="2"/>
      <c r="B25" s="2" t="s">
        <v>8</v>
      </c>
      <c r="C25" s="13">
        <v>-62.0369300842285</v>
      </c>
      <c r="D25" s="13">
        <v>172.212341308594</v>
      </c>
      <c r="E25" s="7">
        <f t="shared" si="1"/>
        <v>30.33373543</v>
      </c>
      <c r="G25" s="2" t="s">
        <v>8</v>
      </c>
      <c r="H25" s="13">
        <v>-49.3112373352051</v>
      </c>
      <c r="I25" s="13">
        <v>141.105178833008</v>
      </c>
      <c r="J25" s="3">
        <f t="shared" si="2"/>
        <v>18.30142017</v>
      </c>
      <c r="K25" s="2"/>
      <c r="L25" s="2" t="s">
        <v>8</v>
      </c>
      <c r="M25" s="13">
        <v>-61.7349662780762</v>
      </c>
      <c r="N25" s="13">
        <v>154.087829589844</v>
      </c>
      <c r="O25" s="3">
        <f t="shared" si="3"/>
        <v>13.07395618</v>
      </c>
      <c r="P25" s="18">
        <v>-67.5677074432374</v>
      </c>
      <c r="Q25" s="18">
        <v>142.387083435059</v>
      </c>
    </row>
    <row r="26">
      <c r="A26" s="2"/>
      <c r="B26" s="2" t="s">
        <v>21</v>
      </c>
      <c r="C26" s="13">
        <v>-41.478946685791</v>
      </c>
      <c r="D26" s="13">
        <v>129.809295654297</v>
      </c>
      <c r="E26" s="7">
        <f t="shared" si="1"/>
        <v>28.96246162</v>
      </c>
      <c r="G26" s="2" t="s">
        <v>21</v>
      </c>
      <c r="H26" s="13">
        <v>-39.6769485473633</v>
      </c>
      <c r="I26" s="13">
        <v>139.325958251953</v>
      </c>
      <c r="J26" s="3">
        <f t="shared" si="2"/>
        <v>28.05824156</v>
      </c>
      <c r="K26" s="2"/>
      <c r="L26" s="2" t="s">
        <v>21</v>
      </c>
      <c r="M26" s="13">
        <v>-39.9027099609375</v>
      </c>
      <c r="N26" s="13">
        <v>140.60009765625</v>
      </c>
      <c r="O26" s="3">
        <f t="shared" si="3"/>
        <v>27.72265146</v>
      </c>
      <c r="P26" s="18">
        <v>-67.5677074432374</v>
      </c>
      <c r="Q26" s="18">
        <v>142.387083435059</v>
      </c>
    </row>
    <row r="27">
      <c r="A27" s="2"/>
      <c r="B27" s="2" t="s">
        <v>7</v>
      </c>
      <c r="C27" s="13">
        <v>-66.2469329833984</v>
      </c>
      <c r="D27" s="11">
        <f>-173.922241210938+360</f>
        <v>186.0777588</v>
      </c>
      <c r="E27" s="7">
        <f t="shared" si="1"/>
        <v>43.71063438</v>
      </c>
      <c r="G27" s="2" t="s">
        <v>7</v>
      </c>
      <c r="H27" s="13">
        <v>-70.4375610351562</v>
      </c>
      <c r="I27" s="17">
        <f>-168.833190917969+360</f>
        <v>191.1668091</v>
      </c>
      <c r="J27" s="3">
        <f t="shared" si="2"/>
        <v>48.86407365</v>
      </c>
      <c r="K27" s="2"/>
      <c r="L27" s="2" t="s">
        <v>7</v>
      </c>
      <c r="M27" s="13">
        <v>-69.2963562011719</v>
      </c>
      <c r="N27" s="11">
        <f>-175.828765869141+360</f>
        <v>184.1712341</v>
      </c>
      <c r="O27" s="3">
        <f t="shared" si="3"/>
        <v>41.8198933</v>
      </c>
      <c r="P27" s="18">
        <v>-67.5677074432374</v>
      </c>
      <c r="Q27" s="18">
        <v>142.387083435059</v>
      </c>
    </row>
    <row r="28">
      <c r="A28" s="2"/>
      <c r="B28" s="2" t="s">
        <v>15</v>
      </c>
      <c r="C28" s="13">
        <v>-71.6498260498047</v>
      </c>
      <c r="D28" s="13">
        <v>143.820220947266</v>
      </c>
      <c r="E28" s="7">
        <f t="shared" si="1"/>
        <v>4.326381334</v>
      </c>
      <c r="G28" s="2" t="s">
        <v>15</v>
      </c>
      <c r="H28" s="13">
        <v>-74.1407165527344</v>
      </c>
      <c r="I28" s="13">
        <v>158.880294799805</v>
      </c>
      <c r="J28" s="3">
        <f t="shared" si="2"/>
        <v>17.75473092</v>
      </c>
      <c r="K28" s="2"/>
      <c r="L28" s="2" t="s">
        <v>15</v>
      </c>
      <c r="M28" s="13">
        <v>-53.3912544250488</v>
      </c>
      <c r="N28" s="13">
        <v>145.937805175781</v>
      </c>
      <c r="O28" s="3">
        <f t="shared" si="3"/>
        <v>14.6143575</v>
      </c>
      <c r="P28" s="18">
        <v>-67.5677074432375</v>
      </c>
      <c r="Q28" s="18">
        <v>142.387083435059</v>
      </c>
    </row>
    <row r="29">
      <c r="A29" s="2"/>
      <c r="B29" s="2" t="s">
        <v>21</v>
      </c>
      <c r="C29" s="13">
        <v>-44.6727485656738</v>
      </c>
      <c r="D29" s="13">
        <v>142.868179321289</v>
      </c>
      <c r="E29" s="7">
        <f t="shared" si="1"/>
        <v>22.900013</v>
      </c>
      <c r="G29" s="2" t="s">
        <v>21</v>
      </c>
      <c r="H29" s="13">
        <v>-43.7335319519043</v>
      </c>
      <c r="I29" s="13">
        <v>139.768173217773</v>
      </c>
      <c r="J29" s="3">
        <f t="shared" si="2"/>
        <v>23.97762732</v>
      </c>
      <c r="K29" s="2"/>
      <c r="L29" s="2" t="s">
        <v>21</v>
      </c>
      <c r="M29" s="13">
        <v>-51.8123664855957</v>
      </c>
      <c r="N29" s="13">
        <v>154.291870117188</v>
      </c>
      <c r="O29" s="3">
        <f t="shared" si="3"/>
        <v>19.74727107</v>
      </c>
      <c r="P29" s="18">
        <v>-67.5677074432375</v>
      </c>
      <c r="Q29" s="18">
        <v>142.387083435059</v>
      </c>
    </row>
    <row r="30">
      <c r="A30" s="2"/>
      <c r="B30" s="2" t="s">
        <v>7</v>
      </c>
      <c r="C30" s="13">
        <v>-66.9653778076172</v>
      </c>
      <c r="D30" s="13">
        <v>157.070983886719</v>
      </c>
      <c r="E30" s="7">
        <f t="shared" si="1"/>
        <v>14.69624896</v>
      </c>
      <c r="G30" s="2" t="s">
        <v>7</v>
      </c>
      <c r="H30" s="13">
        <v>-59.6418800354004</v>
      </c>
      <c r="I30" s="19">
        <v>174.459686279297</v>
      </c>
      <c r="J30" s="3">
        <f t="shared" si="2"/>
        <v>33.03741202</v>
      </c>
      <c r="K30" s="2"/>
      <c r="L30" s="2" t="s">
        <v>7</v>
      </c>
      <c r="M30" s="13">
        <v>-46.1640625</v>
      </c>
      <c r="N30" s="13">
        <v>151.602233886719</v>
      </c>
      <c r="O30" s="3">
        <f t="shared" si="3"/>
        <v>23.3031117</v>
      </c>
      <c r="P30" s="18">
        <v>-67.5677074432375</v>
      </c>
      <c r="Q30" s="18">
        <v>142.387083435059</v>
      </c>
    </row>
    <row r="31">
      <c r="A31" s="2"/>
      <c r="B31" s="2" t="s">
        <v>15</v>
      </c>
      <c r="C31" s="13">
        <v>-59.6817626953125</v>
      </c>
      <c r="D31" s="13">
        <v>149.573272705078</v>
      </c>
      <c r="E31" s="7">
        <f t="shared" si="1"/>
        <v>10.6690881</v>
      </c>
      <c r="G31" s="2" t="s">
        <v>15</v>
      </c>
      <c r="H31" s="13">
        <v>-87.3541717529297</v>
      </c>
      <c r="I31" s="13">
        <v>134.475677490234</v>
      </c>
      <c r="J31" s="3">
        <f t="shared" si="2"/>
        <v>21.30949352</v>
      </c>
      <c r="K31" s="2"/>
      <c r="L31" s="2" t="s">
        <v>15</v>
      </c>
      <c r="M31" s="13">
        <v>-77.0815887451172</v>
      </c>
      <c r="N31" s="13">
        <v>150.18212890625</v>
      </c>
      <c r="O31" s="3">
        <f t="shared" si="3"/>
        <v>12.29945817</v>
      </c>
      <c r="P31" s="18">
        <v>-67.5677074432375</v>
      </c>
      <c r="Q31" s="18">
        <v>142.387083435059</v>
      </c>
    </row>
    <row r="32">
      <c r="A32" s="2"/>
      <c r="B32" s="2" t="s">
        <v>21</v>
      </c>
      <c r="C32" s="13">
        <v>-55.9863204956055</v>
      </c>
      <c r="D32" s="13">
        <v>139.924301147461</v>
      </c>
      <c r="E32" s="7">
        <f t="shared" si="1"/>
        <v>11.84034713</v>
      </c>
      <c r="G32" s="2" t="s">
        <v>21</v>
      </c>
      <c r="H32" s="13">
        <v>-51.154296875</v>
      </c>
      <c r="I32" s="13">
        <v>137.678741455078</v>
      </c>
      <c r="J32" s="3">
        <f t="shared" si="2"/>
        <v>17.07537791</v>
      </c>
      <c r="K32" s="2"/>
      <c r="L32" s="2" t="s">
        <v>21</v>
      </c>
      <c r="M32" s="13">
        <v>-29.815055847168</v>
      </c>
      <c r="N32" s="13">
        <v>143.335845947266</v>
      </c>
      <c r="O32" s="3">
        <f t="shared" si="3"/>
        <v>37.7645714</v>
      </c>
      <c r="P32" s="18">
        <v>-67.5677074432375</v>
      </c>
      <c r="Q32" s="18">
        <v>142.387083435059</v>
      </c>
    </row>
    <row r="33">
      <c r="A33" s="2"/>
      <c r="B33" s="2" t="s">
        <v>7</v>
      </c>
      <c r="C33" s="13">
        <v>-78.7174911499023</v>
      </c>
      <c r="D33" s="11">
        <f>-168.584289550781+360</f>
        <v>191.4157104</v>
      </c>
      <c r="E33" s="7">
        <f t="shared" si="1"/>
        <v>50.2804529</v>
      </c>
      <c r="G33" s="2" t="s">
        <v>7</v>
      </c>
      <c r="H33" s="13">
        <v>-47.3162536621094</v>
      </c>
      <c r="I33" s="13">
        <v>158.464767456055</v>
      </c>
      <c r="J33" s="3">
        <f t="shared" si="2"/>
        <v>25.85755796</v>
      </c>
      <c r="K33" s="2"/>
      <c r="L33" s="2" t="s">
        <v>7</v>
      </c>
      <c r="M33" s="13">
        <v>-68.9448623657227</v>
      </c>
      <c r="N33" s="11">
        <f>-175.527633666992+360</f>
        <v>184.4723663</v>
      </c>
      <c r="O33" s="3">
        <f t="shared" si="3"/>
        <v>42.10780916</v>
      </c>
      <c r="P33" s="18">
        <v>-67.5677074432375</v>
      </c>
      <c r="Q33" s="18">
        <v>142.387083435059</v>
      </c>
    </row>
    <row r="34">
      <c r="A34" s="2"/>
      <c r="B34" s="2" t="s">
        <v>15</v>
      </c>
      <c r="C34" s="13">
        <v>-70.3191299438477</v>
      </c>
      <c r="D34" s="13">
        <v>148.121917724609</v>
      </c>
      <c r="E34" s="7">
        <f t="shared" si="1"/>
        <v>6.360711446</v>
      </c>
      <c r="G34" s="2" t="s">
        <v>15</v>
      </c>
      <c r="H34" s="13">
        <v>-70.00390625</v>
      </c>
      <c r="I34" s="13">
        <v>150.522323608398</v>
      </c>
      <c r="J34" s="3">
        <f t="shared" si="2"/>
        <v>8.492184484</v>
      </c>
      <c r="K34" s="2"/>
      <c r="L34" s="2" t="s">
        <v>15</v>
      </c>
      <c r="M34" s="13">
        <v>-82.7356338500977</v>
      </c>
      <c r="N34" s="13">
        <v>167.175476074219</v>
      </c>
      <c r="O34" s="3">
        <f t="shared" si="3"/>
        <v>29.06080524</v>
      </c>
      <c r="P34" s="18">
        <v>-67.5677074432375</v>
      </c>
      <c r="Q34" s="18">
        <v>142.387083435059</v>
      </c>
    </row>
    <row r="35">
      <c r="A35" s="2"/>
      <c r="B35" s="2" t="s">
        <v>21</v>
      </c>
      <c r="C35" s="13">
        <v>-55.0952949523926</v>
      </c>
      <c r="D35" s="13">
        <v>156.358047485352</v>
      </c>
      <c r="E35" s="7">
        <f t="shared" si="1"/>
        <v>18.7282917</v>
      </c>
      <c r="G35" s="2" t="s">
        <v>21</v>
      </c>
      <c r="H35" s="13">
        <v>-49.5671577453613</v>
      </c>
      <c r="I35" s="13">
        <v>134.063018798828</v>
      </c>
      <c r="J35" s="3">
        <f t="shared" si="2"/>
        <v>19.83204078</v>
      </c>
      <c r="K35" s="2"/>
      <c r="L35" s="2" t="s">
        <v>21</v>
      </c>
      <c r="M35" s="13">
        <v>-67.4552230834961</v>
      </c>
      <c r="N35" s="13">
        <v>148.33837890625</v>
      </c>
      <c r="O35" s="3">
        <f t="shared" si="3"/>
        <v>5.9523584</v>
      </c>
      <c r="P35" s="18">
        <v>-67.5677074432375</v>
      </c>
      <c r="Q35" s="18">
        <v>142.387083435059</v>
      </c>
    </row>
    <row r="36">
      <c r="A36" s="2"/>
      <c r="B36" s="2" t="s">
        <v>7</v>
      </c>
      <c r="C36" s="13">
        <v>-99.3968048095703</v>
      </c>
      <c r="D36" s="19">
        <v>149.857894897461</v>
      </c>
      <c r="E36" s="7">
        <f t="shared" si="1"/>
        <v>32.69410441</v>
      </c>
      <c r="G36" s="2" t="s">
        <v>7</v>
      </c>
      <c r="H36" s="13">
        <v>-72.5591659545898</v>
      </c>
      <c r="I36" s="11">
        <f>-172.377288818359+360</f>
        <v>187.6227112</v>
      </c>
      <c r="J36" s="3">
        <f t="shared" si="2"/>
        <v>45.51018211</v>
      </c>
      <c r="K36" s="2"/>
      <c r="L36" s="2" t="s">
        <v>7</v>
      </c>
      <c r="M36" s="13">
        <v>-55.4797706604004</v>
      </c>
      <c r="N36" s="19">
        <v>154.113784790039</v>
      </c>
      <c r="O36" s="3">
        <f t="shared" si="3"/>
        <v>16.84142928</v>
      </c>
      <c r="P36" s="18">
        <v>-67.5677074432375</v>
      </c>
      <c r="Q36" s="18">
        <v>142.387083435059</v>
      </c>
    </row>
    <row r="37">
      <c r="A37" s="2"/>
      <c r="B37" s="2" t="s">
        <v>15</v>
      </c>
      <c r="C37" s="13">
        <v>-72.8205108642578</v>
      </c>
      <c r="D37" s="13">
        <v>136.151214599609</v>
      </c>
      <c r="E37" s="7">
        <f t="shared" si="1"/>
        <v>8.153404437</v>
      </c>
      <c r="G37" s="2" t="s">
        <v>15</v>
      </c>
      <c r="H37" s="13">
        <v>-66.9366455078125</v>
      </c>
      <c r="I37" s="13">
        <v>132.076232910156</v>
      </c>
      <c r="J37" s="3">
        <f t="shared" si="2"/>
        <v>10.33014413</v>
      </c>
      <c r="K37" s="2"/>
      <c r="L37" s="2" t="s">
        <v>15</v>
      </c>
      <c r="M37" s="13">
        <v>-73.1670379638672</v>
      </c>
      <c r="N37" s="13">
        <v>144.117477416992</v>
      </c>
      <c r="O37" s="3">
        <f t="shared" si="3"/>
        <v>5.860611368</v>
      </c>
      <c r="P37" s="18">
        <v>-67.5677074432376</v>
      </c>
      <c r="Q37" s="18">
        <v>142.387083435059</v>
      </c>
    </row>
    <row r="38">
      <c r="A38" s="2"/>
      <c r="B38" s="2" t="s">
        <v>21</v>
      </c>
      <c r="C38" s="13">
        <v>-45.2716522216797</v>
      </c>
      <c r="D38" s="13">
        <v>158.104827880859</v>
      </c>
      <c r="E38" s="7">
        <f t="shared" si="1"/>
        <v>27.27932493</v>
      </c>
      <c r="G38" s="2" t="s">
        <v>21</v>
      </c>
      <c r="H38" s="13">
        <v>-52.6398124694824</v>
      </c>
      <c r="I38" s="13">
        <v>158.974685668945</v>
      </c>
      <c r="J38" s="3">
        <f t="shared" si="2"/>
        <v>22.31570291</v>
      </c>
      <c r="K38" s="2"/>
      <c r="L38" s="2" t="s">
        <v>21</v>
      </c>
      <c r="M38" s="13">
        <v>-65.0008316040039</v>
      </c>
      <c r="N38" s="13">
        <v>149.985717773438</v>
      </c>
      <c r="O38" s="3">
        <f t="shared" si="3"/>
        <v>8.020479748</v>
      </c>
      <c r="P38" s="18">
        <v>-67.5677074432376</v>
      </c>
      <c r="Q38" s="18">
        <v>142.387083435059</v>
      </c>
    </row>
    <row r="39">
      <c r="A39" s="2"/>
      <c r="B39" s="2" t="s">
        <v>7</v>
      </c>
      <c r="C39" s="21">
        <v>76.4708099365234</v>
      </c>
      <c r="D39" s="21">
        <v>0.0</v>
      </c>
      <c r="E39" s="22">
        <f t="shared" si="1"/>
        <v>202.536851</v>
      </c>
      <c r="G39" s="2" t="s">
        <v>7</v>
      </c>
      <c r="H39" s="13">
        <v>-68.6457138061523</v>
      </c>
      <c r="I39" s="13">
        <v>0.0</v>
      </c>
      <c r="J39" s="3">
        <f t="shared" si="2"/>
        <v>142.3911641</v>
      </c>
      <c r="K39" s="2"/>
      <c r="L39" s="2" t="s">
        <v>7</v>
      </c>
      <c r="M39" s="13">
        <v>33.788516998291</v>
      </c>
      <c r="N39" s="13">
        <v>0.0</v>
      </c>
      <c r="O39" s="3">
        <f t="shared" si="3"/>
        <v>174.777475</v>
      </c>
      <c r="P39" s="18">
        <v>-67.5677074432376</v>
      </c>
      <c r="Q39" s="18">
        <v>142.387083435059</v>
      </c>
    </row>
    <row r="40">
      <c r="P40" s="18">
        <v>-67.5677074432376</v>
      </c>
      <c r="Q40" s="18">
        <v>142.387083435059</v>
      </c>
    </row>
    <row r="41">
      <c r="C41" s="1" t="s">
        <v>16</v>
      </c>
      <c r="G41" s="8" t="s">
        <v>17</v>
      </c>
      <c r="H41" s="8" t="s">
        <v>22</v>
      </c>
    </row>
    <row r="42">
      <c r="A42" s="3"/>
      <c r="C42" s="2" t="s">
        <v>19</v>
      </c>
      <c r="D42" s="3">
        <f t="shared" ref="D42:D79" si="4">AVERAGE(E2,J2,O2)</f>
        <v>77.71105572</v>
      </c>
      <c r="F42" s="3">
        <v>71.934206455097</v>
      </c>
      <c r="G42" s="3">
        <f t="shared" ref="G42:G79" si="5">STDEV(E2,J2,O2)</f>
        <v>9.459062631</v>
      </c>
      <c r="H42" s="7">
        <f t="shared" ref="H42:H79" si="6">G42/SQRT(3)</f>
        <v>5.461192356</v>
      </c>
    </row>
    <row r="43">
      <c r="A43" s="3"/>
      <c r="C43" s="2" t="s">
        <v>7</v>
      </c>
      <c r="D43" s="3">
        <f t="shared" si="4"/>
        <v>68.33983244</v>
      </c>
      <c r="F43" s="3">
        <v>123.949106963662</v>
      </c>
      <c r="G43" s="3">
        <f t="shared" si="5"/>
        <v>58.55485043</v>
      </c>
      <c r="H43" s="7">
        <f t="shared" si="6"/>
        <v>33.80665866</v>
      </c>
      <c r="K43" s="10">
        <v>-60.8059768676758</v>
      </c>
      <c r="L43" s="10">
        <v>148.95588684082</v>
      </c>
    </row>
    <row r="44">
      <c r="A44" s="3"/>
      <c r="C44" s="2" t="s">
        <v>8</v>
      </c>
      <c r="D44" s="3">
        <f t="shared" si="4"/>
        <v>24.87453888</v>
      </c>
      <c r="F44" s="3">
        <v>33.5044674353153</v>
      </c>
      <c r="G44" s="3">
        <f t="shared" si="5"/>
        <v>6.480745456</v>
      </c>
      <c r="H44" s="7">
        <f t="shared" si="6"/>
        <v>3.741660134</v>
      </c>
      <c r="K44" s="10">
        <v>-71.6498260498047</v>
      </c>
      <c r="L44" s="10">
        <v>143.820220947266</v>
      </c>
    </row>
    <row r="45">
      <c r="A45" s="3"/>
      <c r="C45" s="2" t="s">
        <v>20</v>
      </c>
      <c r="D45" s="3">
        <f t="shared" si="4"/>
        <v>160.432017</v>
      </c>
      <c r="F45" s="3">
        <v>73.5136195424533</v>
      </c>
      <c r="G45" s="3">
        <f t="shared" si="5"/>
        <v>32.97128812</v>
      </c>
      <c r="H45" s="7">
        <f t="shared" si="6"/>
        <v>19.03598207</v>
      </c>
      <c r="K45" s="10">
        <v>-70.3191299438477</v>
      </c>
      <c r="L45" s="10">
        <v>148.121917724609</v>
      </c>
    </row>
    <row r="46">
      <c r="A46" s="3"/>
      <c r="C46" s="2" t="s">
        <v>7</v>
      </c>
      <c r="D46" s="3">
        <f t="shared" si="4"/>
        <v>68.93620625</v>
      </c>
      <c r="F46" s="3">
        <v>107.321864191733</v>
      </c>
      <c r="G46" s="3">
        <f t="shared" si="5"/>
        <v>64.29381403</v>
      </c>
      <c r="H46" s="7">
        <f t="shared" si="6"/>
        <v>37.12005084</v>
      </c>
      <c r="K46" s="10">
        <v>-72.8205108642578</v>
      </c>
      <c r="L46" s="10">
        <v>136.151214599609</v>
      </c>
    </row>
    <row r="47">
      <c r="A47" s="3"/>
      <c r="C47" s="2" t="s">
        <v>8</v>
      </c>
      <c r="D47" s="3">
        <f t="shared" si="4"/>
        <v>13.57560097</v>
      </c>
      <c r="F47" s="3">
        <v>26.0371001552945</v>
      </c>
      <c r="G47" s="3">
        <f t="shared" si="5"/>
        <v>1.714489567</v>
      </c>
      <c r="H47" s="7">
        <f t="shared" si="6"/>
        <v>0.989861013</v>
      </c>
      <c r="K47" s="10">
        <v>-65.966552734375</v>
      </c>
      <c r="L47" s="10">
        <v>136.770767211914</v>
      </c>
    </row>
    <row r="48">
      <c r="A48" s="3"/>
      <c r="C48" s="2" t="s">
        <v>20</v>
      </c>
      <c r="D48" s="3">
        <f t="shared" si="4"/>
        <v>40.37839569</v>
      </c>
      <c r="F48" s="3">
        <v>19.3926183182707</v>
      </c>
      <c r="G48" s="3">
        <f t="shared" si="5"/>
        <v>33.67297126</v>
      </c>
      <c r="H48" s="7">
        <f t="shared" si="6"/>
        <v>19.44109902</v>
      </c>
      <c r="K48" s="10">
        <v>-61.5553398132324</v>
      </c>
      <c r="L48" s="10">
        <v>135.533020019531</v>
      </c>
    </row>
    <row r="49">
      <c r="A49" s="3"/>
      <c r="C49" s="2" t="s">
        <v>7</v>
      </c>
      <c r="D49" s="3">
        <f t="shared" si="4"/>
        <v>31.04134641</v>
      </c>
      <c r="F49" s="3">
        <v>26.9594120498631</v>
      </c>
      <c r="G49" s="3">
        <f t="shared" si="5"/>
        <v>2.385377042</v>
      </c>
      <c r="H49" s="7">
        <f t="shared" si="6"/>
        <v>1.377198077</v>
      </c>
      <c r="K49" s="10">
        <v>-66.9366455078125</v>
      </c>
      <c r="L49" s="10">
        <v>132.076232910156</v>
      </c>
    </row>
    <row r="50">
      <c r="A50" s="3"/>
      <c r="C50" s="2" t="s">
        <v>8</v>
      </c>
      <c r="D50" s="3">
        <f t="shared" si="4"/>
        <v>10.96212987</v>
      </c>
      <c r="F50" s="3">
        <v>13.85419752987</v>
      </c>
      <c r="G50" s="3">
        <f t="shared" si="5"/>
        <v>6.040693535</v>
      </c>
      <c r="H50" s="7">
        <f t="shared" si="6"/>
        <v>3.487596038</v>
      </c>
      <c r="K50" s="10">
        <v>-67.4552230834961</v>
      </c>
      <c r="L50" s="10">
        <v>148.33837890625</v>
      </c>
    </row>
    <row r="51">
      <c r="A51" s="3"/>
      <c r="C51" s="2" t="s">
        <v>20</v>
      </c>
      <c r="D51" s="3">
        <f t="shared" si="4"/>
        <v>12.30011538</v>
      </c>
      <c r="F51" s="3">
        <v>14.5506086853734</v>
      </c>
      <c r="G51" s="3">
        <f t="shared" si="5"/>
        <v>2.827978689</v>
      </c>
      <c r="H51" s="7">
        <f t="shared" si="6"/>
        <v>1.632734257</v>
      </c>
      <c r="K51" s="10">
        <v>-73.1670379638672</v>
      </c>
      <c r="L51" s="10">
        <v>144.117477416992</v>
      </c>
    </row>
    <row r="52">
      <c r="A52" s="3"/>
      <c r="C52" s="2" t="s">
        <v>7</v>
      </c>
      <c r="D52" s="3">
        <f t="shared" si="4"/>
        <v>18.82845698</v>
      </c>
      <c r="F52" s="3">
        <v>29.5236445901694</v>
      </c>
      <c r="G52" s="3">
        <f t="shared" si="5"/>
        <v>8.564515112</v>
      </c>
      <c r="H52" s="7">
        <f t="shared" si="6"/>
        <v>4.944725106</v>
      </c>
      <c r="K52" s="10">
        <v>-65.0008316040039</v>
      </c>
      <c r="L52" s="10">
        <v>149.985717773438</v>
      </c>
    </row>
    <row r="53">
      <c r="A53" s="3"/>
      <c r="C53" s="2" t="s">
        <v>8</v>
      </c>
      <c r="D53" s="3">
        <f t="shared" si="4"/>
        <v>21.11848523</v>
      </c>
      <c r="F53" s="3">
        <v>13.6523538402022</v>
      </c>
      <c r="G53" s="3">
        <f t="shared" si="5"/>
        <v>10.76531327</v>
      </c>
      <c r="H53" s="7">
        <f t="shared" si="6"/>
        <v>6.215356513</v>
      </c>
    </row>
    <row r="54">
      <c r="A54" s="3"/>
      <c r="C54" s="2" t="s">
        <v>20</v>
      </c>
      <c r="D54" s="3">
        <f t="shared" si="4"/>
        <v>17.59831056</v>
      </c>
      <c r="F54" s="3">
        <v>8.08485562416847</v>
      </c>
      <c r="G54" s="3">
        <f t="shared" si="5"/>
        <v>3.410087986</v>
      </c>
      <c r="H54" s="7">
        <f t="shared" si="6"/>
        <v>1.968815217</v>
      </c>
    </row>
    <row r="55">
      <c r="A55" s="3"/>
      <c r="C55" s="2" t="s">
        <v>7</v>
      </c>
      <c r="D55" s="3">
        <f t="shared" si="4"/>
        <v>30.35955316</v>
      </c>
      <c r="F55" s="3">
        <v>29.3415198952633</v>
      </c>
      <c r="G55" s="3">
        <f t="shared" si="5"/>
        <v>3.226917368</v>
      </c>
      <c r="H55" s="7">
        <f t="shared" si="6"/>
        <v>1.863061611</v>
      </c>
    </row>
    <row r="56">
      <c r="A56" s="3"/>
      <c r="C56" s="2" t="s">
        <v>8</v>
      </c>
      <c r="D56" s="3">
        <f t="shared" si="4"/>
        <v>20.10551219</v>
      </c>
      <c r="F56" s="3">
        <v>28.5725853036573</v>
      </c>
      <c r="G56" s="3">
        <f t="shared" si="5"/>
        <v>10.61658966</v>
      </c>
      <c r="H56" s="7">
        <f t="shared" si="6"/>
        <v>6.129490897</v>
      </c>
      <c r="J56" s="8" t="s">
        <v>23</v>
      </c>
      <c r="K56" s="9">
        <f t="shared" ref="K56:L56" si="7">AVERAGE(K43:K52)</f>
        <v>-67.56770744</v>
      </c>
      <c r="L56" s="9">
        <f t="shared" si="7"/>
        <v>142.3870834</v>
      </c>
    </row>
    <row r="57">
      <c r="A57" s="3"/>
      <c r="C57" s="2" t="s">
        <v>21</v>
      </c>
      <c r="D57" s="3">
        <f t="shared" si="4"/>
        <v>27.50245563</v>
      </c>
      <c r="F57" s="3">
        <v>23.5197007651978</v>
      </c>
      <c r="G57" s="3">
        <f t="shared" si="5"/>
        <v>9.76176926</v>
      </c>
      <c r="H57" s="7">
        <f t="shared" si="6"/>
        <v>5.63596011</v>
      </c>
      <c r="J57" s="8" t="s">
        <v>24</v>
      </c>
      <c r="K57" s="9">
        <f t="shared" ref="K57:L57" si="8">STDEV(K43:K52)</f>
        <v>4.404687767</v>
      </c>
      <c r="L57" s="9">
        <f t="shared" si="8"/>
        <v>6.649675869</v>
      </c>
    </row>
    <row r="58">
      <c r="A58" s="3"/>
      <c r="C58" s="2" t="s">
        <v>7</v>
      </c>
      <c r="D58" s="3">
        <f t="shared" si="4"/>
        <v>41.62878739</v>
      </c>
      <c r="F58" s="3">
        <v>37.2134884914141</v>
      </c>
      <c r="G58" s="3">
        <f t="shared" si="5"/>
        <v>5.623838206</v>
      </c>
      <c r="H58" s="7">
        <f t="shared" si="6"/>
        <v>3.246924502</v>
      </c>
    </row>
    <row r="59">
      <c r="A59" s="3"/>
      <c r="C59" s="2" t="s">
        <v>8</v>
      </c>
      <c r="D59" s="3">
        <f t="shared" si="4"/>
        <v>16.60573768</v>
      </c>
      <c r="F59" s="3">
        <v>11.9191067816356</v>
      </c>
      <c r="G59" s="3">
        <f t="shared" si="5"/>
        <v>4.229728111</v>
      </c>
      <c r="H59" s="7">
        <f t="shared" si="6"/>
        <v>2.442034663</v>
      </c>
    </row>
    <row r="60">
      <c r="A60" s="3"/>
      <c r="C60" s="2" t="s">
        <v>21</v>
      </c>
      <c r="D60" s="3">
        <f t="shared" si="4"/>
        <v>29.53160119</v>
      </c>
      <c r="F60" s="3">
        <v>20.3649551665633</v>
      </c>
      <c r="G60" s="3">
        <f t="shared" si="5"/>
        <v>3.726687185</v>
      </c>
      <c r="H60" s="7">
        <f t="shared" si="6"/>
        <v>2.15160385</v>
      </c>
    </row>
    <row r="61">
      <c r="A61" s="3"/>
      <c r="C61" s="2" t="s">
        <v>7</v>
      </c>
      <c r="D61" s="3">
        <f t="shared" si="4"/>
        <v>37.25802307</v>
      </c>
      <c r="F61" s="3">
        <v>40.0484967013321</v>
      </c>
      <c r="G61" s="3">
        <f t="shared" si="5"/>
        <v>11.36162135</v>
      </c>
      <c r="H61" s="7">
        <f t="shared" si="6"/>
        <v>6.559635147</v>
      </c>
    </row>
    <row r="62">
      <c r="A62" s="3"/>
      <c r="C62" s="2" t="s">
        <v>8</v>
      </c>
      <c r="D62" s="3">
        <f t="shared" si="4"/>
        <v>18.51186003</v>
      </c>
      <c r="F62" s="3">
        <v>16.7315769858946</v>
      </c>
      <c r="G62" s="3">
        <f t="shared" si="5"/>
        <v>6.650190537</v>
      </c>
      <c r="H62" s="7">
        <f t="shared" si="6"/>
        <v>3.839489297</v>
      </c>
    </row>
    <row r="63">
      <c r="A63" s="3"/>
      <c r="C63" s="2" t="s">
        <v>21</v>
      </c>
      <c r="D63" s="3">
        <f t="shared" si="4"/>
        <v>19.83088486</v>
      </c>
      <c r="F63" s="3">
        <v>20.2258515382697</v>
      </c>
      <c r="G63" s="3">
        <f t="shared" si="5"/>
        <v>13.43582032</v>
      </c>
      <c r="H63" s="7">
        <f t="shared" si="6"/>
        <v>7.757174481</v>
      </c>
    </row>
    <row r="64">
      <c r="A64" s="3"/>
      <c r="C64" s="2" t="s">
        <v>7</v>
      </c>
      <c r="D64" s="3">
        <f t="shared" si="4"/>
        <v>40.77997445</v>
      </c>
      <c r="F64" s="3">
        <v>44.224801317219</v>
      </c>
      <c r="G64" s="3">
        <f t="shared" si="5"/>
        <v>8.023385753</v>
      </c>
      <c r="H64" s="7">
        <f t="shared" si="6"/>
        <v>4.632303924</v>
      </c>
    </row>
    <row r="65">
      <c r="A65" s="3"/>
      <c r="C65" s="2" t="s">
        <v>8</v>
      </c>
      <c r="D65" s="3">
        <f t="shared" si="4"/>
        <v>20.56970393</v>
      </c>
      <c r="F65" s="3">
        <v>27.831895011319</v>
      </c>
      <c r="G65" s="3">
        <f t="shared" si="5"/>
        <v>8.850640001</v>
      </c>
      <c r="H65" s="7">
        <f t="shared" si="6"/>
        <v>5.109919387</v>
      </c>
    </row>
    <row r="66">
      <c r="A66" s="3"/>
      <c r="C66" s="2" t="s">
        <v>21</v>
      </c>
      <c r="D66" s="3">
        <f t="shared" si="4"/>
        <v>28.24778488</v>
      </c>
      <c r="F66" s="3">
        <v>19.3644280431731</v>
      </c>
      <c r="G66" s="3">
        <f t="shared" si="5"/>
        <v>0.64127008</v>
      </c>
      <c r="H66" s="7">
        <f t="shared" si="6"/>
        <v>0.3702374533</v>
      </c>
    </row>
    <row r="67">
      <c r="A67" s="3"/>
      <c r="C67" s="2" t="s">
        <v>7</v>
      </c>
      <c r="D67" s="3">
        <f t="shared" si="4"/>
        <v>44.79820045</v>
      </c>
      <c r="F67" s="3">
        <v>28.0442308969247</v>
      </c>
      <c r="G67" s="3">
        <f t="shared" si="5"/>
        <v>3.645849579</v>
      </c>
      <c r="H67" s="7">
        <f t="shared" si="6"/>
        <v>2.104932236</v>
      </c>
    </row>
    <row r="68">
      <c r="A68" s="3"/>
      <c r="C68" s="2" t="s">
        <v>15</v>
      </c>
      <c r="D68" s="3">
        <f t="shared" si="4"/>
        <v>12.23182325</v>
      </c>
      <c r="F68" s="3">
        <v>6.61335906879207</v>
      </c>
      <c r="G68" s="3">
        <f t="shared" si="5"/>
        <v>7.024065433</v>
      </c>
      <c r="H68" s="7">
        <f t="shared" si="6"/>
        <v>4.055346068</v>
      </c>
    </row>
    <row r="69">
      <c r="A69" s="3"/>
      <c r="C69" s="2" t="s">
        <v>21</v>
      </c>
      <c r="D69" s="3">
        <f t="shared" si="4"/>
        <v>22.2083038</v>
      </c>
      <c r="F69" s="3">
        <v>21.3159853587223</v>
      </c>
      <c r="G69" s="3">
        <f t="shared" si="5"/>
        <v>2.198368651</v>
      </c>
      <c r="H69" s="7">
        <f t="shared" si="6"/>
        <v>1.269228732</v>
      </c>
    </row>
    <row r="70">
      <c r="A70" s="3"/>
      <c r="C70" s="2" t="s">
        <v>7</v>
      </c>
      <c r="D70" s="3">
        <f t="shared" si="4"/>
        <v>23.67892423</v>
      </c>
      <c r="F70" s="3">
        <v>38.9588444997717</v>
      </c>
      <c r="G70" s="3">
        <f t="shared" si="5"/>
        <v>9.176355047</v>
      </c>
      <c r="H70" s="7">
        <f t="shared" si="6"/>
        <v>5.297971056</v>
      </c>
    </row>
    <row r="71">
      <c r="A71" s="3"/>
      <c r="C71" s="2" t="s">
        <v>15</v>
      </c>
      <c r="D71" s="3">
        <f t="shared" si="4"/>
        <v>14.75934659</v>
      </c>
      <c r="F71" s="3">
        <v>8.94112399638795</v>
      </c>
      <c r="G71" s="3">
        <f t="shared" si="5"/>
        <v>5.73086775</v>
      </c>
      <c r="H71" s="7">
        <f t="shared" si="6"/>
        <v>3.308718038</v>
      </c>
    </row>
    <row r="72">
      <c r="A72" s="3"/>
      <c r="C72" s="2" t="s">
        <v>21</v>
      </c>
      <c r="D72" s="3">
        <f t="shared" si="4"/>
        <v>22.22676548</v>
      </c>
      <c r="F72" s="3">
        <v>19.9920196254413</v>
      </c>
      <c r="G72" s="3">
        <f t="shared" si="5"/>
        <v>13.70835316</v>
      </c>
      <c r="H72" s="7">
        <f t="shared" si="6"/>
        <v>7.914521387</v>
      </c>
    </row>
    <row r="73">
      <c r="A73" s="3"/>
      <c r="C73" s="2" t="s">
        <v>7</v>
      </c>
      <c r="D73" s="3">
        <f t="shared" si="4"/>
        <v>39.41527334</v>
      </c>
      <c r="F73" s="3">
        <v>51.7827994777754</v>
      </c>
      <c r="G73" s="3">
        <f t="shared" si="5"/>
        <v>12.43208595</v>
      </c>
      <c r="H73" s="7">
        <f t="shared" si="6"/>
        <v>7.177668171</v>
      </c>
    </row>
    <row r="74">
      <c r="A74" s="3"/>
      <c r="C74" s="2" t="s">
        <v>15</v>
      </c>
      <c r="D74" s="3">
        <f t="shared" si="4"/>
        <v>14.63790039</v>
      </c>
      <c r="F74" s="3">
        <v>59.3300387748468</v>
      </c>
      <c r="G74" s="3">
        <f t="shared" si="5"/>
        <v>12.5359855</v>
      </c>
      <c r="H74" s="7">
        <f t="shared" si="6"/>
        <v>7.237654605</v>
      </c>
    </row>
    <row r="75">
      <c r="A75" s="3"/>
      <c r="C75" s="2" t="s">
        <v>21</v>
      </c>
      <c r="D75" s="3">
        <f t="shared" si="4"/>
        <v>14.83756363</v>
      </c>
      <c r="F75" s="3">
        <v>22.9014463636111</v>
      </c>
      <c r="G75" s="3">
        <f t="shared" si="5"/>
        <v>7.71457837</v>
      </c>
      <c r="H75" s="7">
        <f t="shared" si="6"/>
        <v>4.454013899</v>
      </c>
    </row>
    <row r="76">
      <c r="A76" s="3"/>
      <c r="C76" s="2" t="s">
        <v>7</v>
      </c>
      <c r="D76" s="3">
        <f t="shared" si="4"/>
        <v>31.68190527</v>
      </c>
      <c r="F76" s="3">
        <v>34.0287181021842</v>
      </c>
      <c r="G76" s="3">
        <f t="shared" si="5"/>
        <v>14.36115446</v>
      </c>
      <c r="H76" s="7">
        <f t="shared" si="6"/>
        <v>8.291416394</v>
      </c>
    </row>
    <row r="77">
      <c r="A77" s="3"/>
      <c r="C77" s="2" t="s">
        <v>15</v>
      </c>
      <c r="D77" s="3">
        <f t="shared" si="4"/>
        <v>8.114719978</v>
      </c>
      <c r="F77" s="3">
        <v>26.679687426085</v>
      </c>
      <c r="G77" s="3">
        <f t="shared" si="5"/>
        <v>2.235017481</v>
      </c>
      <c r="H77" s="7">
        <f t="shared" si="6"/>
        <v>1.290387944</v>
      </c>
    </row>
    <row r="78">
      <c r="A78" s="3"/>
      <c r="C78" s="2" t="s">
        <v>21</v>
      </c>
      <c r="D78" s="3">
        <f t="shared" si="4"/>
        <v>19.2051692</v>
      </c>
      <c r="F78" s="3">
        <v>15.0779795444002</v>
      </c>
      <c r="G78" s="3">
        <f t="shared" si="5"/>
        <v>9.999117184</v>
      </c>
      <c r="H78" s="7">
        <f t="shared" si="6"/>
        <v>5.772992998</v>
      </c>
    </row>
    <row r="79">
      <c r="A79" s="3"/>
      <c r="C79" s="2" t="s">
        <v>7</v>
      </c>
      <c r="D79" s="3">
        <f t="shared" si="4"/>
        <v>173.2351634</v>
      </c>
      <c r="F79" s="3">
        <v>142.553857431584</v>
      </c>
      <c r="G79" s="3">
        <f t="shared" si="5"/>
        <v>30.10249086</v>
      </c>
      <c r="H79" s="7">
        <f t="shared" si="6"/>
        <v>17.3796812</v>
      </c>
    </row>
    <row r="81">
      <c r="C81" s="8" t="s">
        <v>25</v>
      </c>
      <c r="D81" s="8" t="s">
        <v>26</v>
      </c>
      <c r="E81" s="8" t="s">
        <v>27</v>
      </c>
      <c r="G81" s="8" t="s">
        <v>28</v>
      </c>
      <c r="H81" s="8" t="s">
        <v>29</v>
      </c>
    </row>
    <row r="82">
      <c r="A82" s="7"/>
      <c r="C82" s="8">
        <v>0.0</v>
      </c>
      <c r="D82" s="10">
        <v>0.0</v>
      </c>
      <c r="E82" s="7">
        <f>D82/D103</f>
        <v>0</v>
      </c>
      <c r="G82" s="7">
        <f>SUMPRODUCT(C82:C102, E82:E102) / SUM(E82:E102)</f>
        <v>40.52631579</v>
      </c>
      <c r="H82" s="20">
        <f>SQRT(SUMPRODUCT(D82:D102, (C82:C102 - SUMPRODUCT(D82:D102, C82:C102) / SUM(D82:D102))^2) / (SUM(D82:D102) - 1))
</f>
        <v>35.78821854</v>
      </c>
    </row>
    <row r="83">
      <c r="C83" s="8">
        <v>10.0</v>
      </c>
      <c r="D83" s="10">
        <v>1.0</v>
      </c>
      <c r="E83" s="7">
        <f>D83/D103</f>
        <v>0.02631578947</v>
      </c>
    </row>
    <row r="84">
      <c r="C84" s="8">
        <v>20.0</v>
      </c>
      <c r="D84" s="10">
        <v>13.0</v>
      </c>
      <c r="E84" s="7">
        <f>D84/D103</f>
        <v>0.3421052632</v>
      </c>
    </row>
    <row r="85">
      <c r="C85" s="8">
        <v>30.0</v>
      </c>
      <c r="D85" s="10">
        <v>10.0</v>
      </c>
      <c r="E85" s="7">
        <f>D85/D103</f>
        <v>0.2631578947</v>
      </c>
    </row>
    <row r="86">
      <c r="C86" s="8">
        <v>40.0</v>
      </c>
      <c r="D86" s="10">
        <v>5.0</v>
      </c>
      <c r="E86" s="7">
        <f>D86/D103</f>
        <v>0.1315789474</v>
      </c>
    </row>
    <row r="87">
      <c r="C87" s="8">
        <v>50.0</v>
      </c>
      <c r="D87" s="10">
        <v>4.0</v>
      </c>
      <c r="E87" s="7">
        <f>D87/D103</f>
        <v>0.1052631579</v>
      </c>
    </row>
    <row r="88">
      <c r="C88" s="8">
        <v>60.0</v>
      </c>
      <c r="D88" s="10">
        <v>0.0</v>
      </c>
      <c r="E88" s="7">
        <f>D88/D103</f>
        <v>0</v>
      </c>
    </row>
    <row r="89">
      <c r="C89" s="8">
        <v>70.0</v>
      </c>
      <c r="D89" s="10">
        <v>2.0</v>
      </c>
      <c r="E89" s="7">
        <f>D89/D103</f>
        <v>0.05263157895</v>
      </c>
    </row>
    <row r="90">
      <c r="C90" s="8">
        <v>80.0</v>
      </c>
      <c r="D90" s="10">
        <v>1.0</v>
      </c>
      <c r="E90" s="7">
        <f>D90/D103</f>
        <v>0.02631578947</v>
      </c>
    </row>
    <row r="91">
      <c r="C91" s="8">
        <v>90.0</v>
      </c>
      <c r="D91" s="10">
        <v>0.0</v>
      </c>
      <c r="E91" s="7">
        <f>D91/D103</f>
        <v>0</v>
      </c>
    </row>
    <row r="92">
      <c r="C92" s="8">
        <v>100.0</v>
      </c>
      <c r="D92" s="10">
        <v>0.0</v>
      </c>
      <c r="E92" s="7">
        <f>D92/D103</f>
        <v>0</v>
      </c>
    </row>
    <row r="93">
      <c r="C93" s="8">
        <v>110.0</v>
      </c>
      <c r="D93" s="10">
        <v>0.0</v>
      </c>
      <c r="E93" s="7">
        <f>D93/D103</f>
        <v>0</v>
      </c>
    </row>
    <row r="94">
      <c r="C94" s="8">
        <v>120.0</v>
      </c>
      <c r="D94" s="10">
        <v>0.0</v>
      </c>
      <c r="E94" s="7">
        <f>D94/D103</f>
        <v>0</v>
      </c>
    </row>
    <row r="95">
      <c r="C95" s="8">
        <v>130.0</v>
      </c>
      <c r="D95" s="10">
        <v>0.0</v>
      </c>
      <c r="E95" s="7">
        <f>D95/D103</f>
        <v>0</v>
      </c>
    </row>
    <row r="96">
      <c r="C96" s="8">
        <v>140.0</v>
      </c>
      <c r="D96" s="10">
        <v>0.0</v>
      </c>
      <c r="E96" s="7">
        <f>D96/D103</f>
        <v>0</v>
      </c>
    </row>
    <row r="97">
      <c r="C97" s="8">
        <v>150.0</v>
      </c>
      <c r="D97" s="10">
        <v>0.0</v>
      </c>
      <c r="E97" s="7">
        <f>D97/D103</f>
        <v>0</v>
      </c>
    </row>
    <row r="98">
      <c r="C98" s="8">
        <v>160.0</v>
      </c>
      <c r="D98" s="10">
        <v>0.0</v>
      </c>
      <c r="E98" s="7">
        <f>D98/D103</f>
        <v>0</v>
      </c>
    </row>
    <row r="99">
      <c r="C99" s="8">
        <v>170.0</v>
      </c>
      <c r="D99" s="10">
        <v>1.0</v>
      </c>
      <c r="E99" s="7">
        <f>D99/D103</f>
        <v>0.02631578947</v>
      </c>
    </row>
    <row r="100">
      <c r="C100" s="8">
        <v>180.0</v>
      </c>
      <c r="D100" s="10">
        <v>1.0</v>
      </c>
      <c r="E100" s="7">
        <f>D100/D103</f>
        <v>0.02631578947</v>
      </c>
    </row>
    <row r="101">
      <c r="C101" s="8">
        <v>190.0</v>
      </c>
      <c r="D101" s="10">
        <v>0.0</v>
      </c>
      <c r="E101" s="7">
        <f>D101/D103</f>
        <v>0</v>
      </c>
    </row>
    <row r="102">
      <c r="C102" s="8">
        <v>200.0</v>
      </c>
      <c r="D102" s="10">
        <v>0.0</v>
      </c>
      <c r="E102" s="7">
        <f>D102/D103</f>
        <v>0</v>
      </c>
    </row>
    <row r="103">
      <c r="D103" s="8">
        <f t="shared" ref="D103:E103" si="9">SUM(D82:D102)</f>
        <v>38</v>
      </c>
      <c r="E103" s="9">
        <f t="shared" si="9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1</v>
      </c>
      <c r="I1" s="1" t="s">
        <v>2</v>
      </c>
      <c r="J1" s="1" t="s">
        <v>3</v>
      </c>
      <c r="K1" s="1"/>
      <c r="L1" s="1" t="s">
        <v>5</v>
      </c>
      <c r="M1" s="1" t="s">
        <v>1</v>
      </c>
      <c r="N1" s="1" t="s">
        <v>2</v>
      </c>
      <c r="O1" s="1" t="s">
        <v>3</v>
      </c>
      <c r="P1" s="1" t="s">
        <v>6</v>
      </c>
      <c r="R1" s="1"/>
    </row>
    <row r="2">
      <c r="A2" s="2"/>
      <c r="B2" s="2" t="s">
        <v>19</v>
      </c>
      <c r="C2" s="13">
        <v>0.0</v>
      </c>
      <c r="D2" s="11">
        <f>-134.413879394531+360</f>
        <v>225.5861206</v>
      </c>
      <c r="E2" s="7">
        <f t="shared" ref="E2:E39" si="1">SQRT((P3 - C2)^2 + (Q3 - D2)^2)</f>
        <v>104.6081063</v>
      </c>
      <c r="G2" s="2" t="s">
        <v>19</v>
      </c>
      <c r="H2" s="13">
        <v>0.0</v>
      </c>
      <c r="I2" s="13">
        <v>117.362358093262</v>
      </c>
      <c r="J2" s="3">
        <f t="shared" ref="J2:J39" si="2">SQRT((P3 - H2)^2 + (Q3 - I2)^2)</f>
        <v>69.27512265</v>
      </c>
      <c r="L2" s="2" t="s">
        <v>19</v>
      </c>
      <c r="M2" s="13">
        <v>0.0</v>
      </c>
      <c r="N2" s="13">
        <v>68.068603515625</v>
      </c>
      <c r="O2" s="3">
        <f t="shared" ref="O2:O39" si="3">SQRT((P3 - M2)^2 + (Q3 - N2)^2)</f>
        <v>98.81947504</v>
      </c>
      <c r="P2" s="1" t="s">
        <v>1</v>
      </c>
      <c r="Q2" s="1" t="s">
        <v>2</v>
      </c>
      <c r="R2" s="1"/>
    </row>
    <row r="3">
      <c r="A3" s="2"/>
      <c r="B3" s="2" t="s">
        <v>7</v>
      </c>
      <c r="C3" s="13">
        <v>66.486328125</v>
      </c>
      <c r="D3" s="13">
        <v>10.32310962677</v>
      </c>
      <c r="E3" s="7">
        <f t="shared" si="1"/>
        <v>186.3797115</v>
      </c>
      <c r="G3" s="2" t="s">
        <v>7</v>
      </c>
      <c r="H3" s="13">
        <v>84.2679214477539</v>
      </c>
      <c r="I3" s="19">
        <v>175.109741210938</v>
      </c>
      <c r="J3" s="3">
        <f t="shared" si="2"/>
        <v>151.999638</v>
      </c>
      <c r="L3" s="2" t="s">
        <v>7</v>
      </c>
      <c r="M3" s="13">
        <v>88.959098815918</v>
      </c>
      <c r="N3" s="19">
        <v>175.827560424805</v>
      </c>
      <c r="O3" s="3">
        <f t="shared" si="3"/>
        <v>156.7370201</v>
      </c>
      <c r="P3" s="18">
        <v>-64.32074610392253</v>
      </c>
      <c r="Q3" s="18">
        <v>143.08946906195766</v>
      </c>
    </row>
    <row r="4">
      <c r="A4" s="2"/>
      <c r="B4" s="2" t="s">
        <v>8</v>
      </c>
      <c r="C4" s="13">
        <v>-45.7271881103516</v>
      </c>
      <c r="D4" s="13">
        <v>124.550262451172</v>
      </c>
      <c r="E4" s="7">
        <f t="shared" si="1"/>
        <v>26.25685778</v>
      </c>
      <c r="G4" s="2" t="s">
        <v>8</v>
      </c>
      <c r="H4" s="13">
        <v>-46.2841644287109</v>
      </c>
      <c r="I4" s="13">
        <v>141.052337646484</v>
      </c>
      <c r="J4" s="3">
        <f t="shared" si="2"/>
        <v>18.15125844</v>
      </c>
      <c r="L4" s="2" t="s">
        <v>8</v>
      </c>
      <c r="M4" s="13">
        <v>-50.2928886413574</v>
      </c>
      <c r="N4" s="13">
        <v>138.58821105957</v>
      </c>
      <c r="O4" s="3">
        <f t="shared" si="3"/>
        <v>14.73234905</v>
      </c>
      <c r="P4" s="18">
        <v>-64.32074610392253</v>
      </c>
      <c r="Q4" s="18">
        <v>143.08946906195766</v>
      </c>
    </row>
    <row r="5">
      <c r="A5" s="2"/>
      <c r="B5" s="2" t="s">
        <v>20</v>
      </c>
      <c r="C5" s="13">
        <v>77.6457061767578</v>
      </c>
      <c r="D5" s="13">
        <v>6.38761281967163</v>
      </c>
      <c r="E5" s="7">
        <f t="shared" si="1"/>
        <v>197.0834115</v>
      </c>
      <c r="G5" s="2" t="s">
        <v>20</v>
      </c>
      <c r="H5" s="13">
        <v>60.5852317810059</v>
      </c>
      <c r="I5" s="13">
        <v>41.8646965026855</v>
      </c>
      <c r="J5" s="3">
        <f t="shared" si="2"/>
        <v>160.7730011</v>
      </c>
      <c r="K5" s="2"/>
      <c r="L5" s="2" t="s">
        <v>20</v>
      </c>
      <c r="M5" s="13">
        <v>-155.689514160156</v>
      </c>
      <c r="N5" s="13">
        <v>157.097305297852</v>
      </c>
      <c r="O5" s="3">
        <f t="shared" si="3"/>
        <v>92.43630917</v>
      </c>
      <c r="P5" s="18">
        <v>-64.32074610392253</v>
      </c>
      <c r="Q5" s="18">
        <v>143.08946906195766</v>
      </c>
    </row>
    <row r="6">
      <c r="A6" s="2"/>
      <c r="B6" s="2" t="s">
        <v>7</v>
      </c>
      <c r="C6" s="13">
        <v>-88.9710464477539</v>
      </c>
      <c r="D6" s="17">
        <f>-165.42399597168+360</f>
        <v>194.576004</v>
      </c>
      <c r="E6" s="7">
        <f t="shared" si="1"/>
        <v>57.08327767</v>
      </c>
      <c r="G6" s="2" t="s">
        <v>7</v>
      </c>
      <c r="H6" s="13">
        <v>-60.8767318725586</v>
      </c>
      <c r="I6" s="19">
        <v>169.989349365234</v>
      </c>
      <c r="J6" s="3">
        <f t="shared" si="2"/>
        <v>27.11945417</v>
      </c>
      <c r="K6" s="2"/>
      <c r="L6" s="2" t="s">
        <v>7</v>
      </c>
      <c r="M6" s="13">
        <v>72.8891296386719</v>
      </c>
      <c r="N6" s="19">
        <v>154.721405029297</v>
      </c>
      <c r="O6" s="3">
        <f t="shared" si="3"/>
        <v>137.7020404</v>
      </c>
      <c r="P6" s="18">
        <v>-64.32074610392253</v>
      </c>
      <c r="Q6" s="18">
        <v>143.08946906195766</v>
      </c>
    </row>
    <row r="7">
      <c r="A7" s="2"/>
      <c r="B7" s="2" t="s">
        <v>8</v>
      </c>
      <c r="C7" s="13">
        <v>-37.2537002563477</v>
      </c>
      <c r="D7" s="13">
        <v>166.523239135742</v>
      </c>
      <c r="E7" s="7">
        <f t="shared" si="1"/>
        <v>35.80176743</v>
      </c>
      <c r="G7" s="2" t="s">
        <v>8</v>
      </c>
      <c r="H7" s="13">
        <v>-94.8060913085937</v>
      </c>
      <c r="I7" s="13">
        <v>171.038482666016</v>
      </c>
      <c r="J7" s="3">
        <f t="shared" si="2"/>
        <v>41.35823538</v>
      </c>
      <c r="K7" s="2"/>
      <c r="L7" s="2" t="s">
        <v>8</v>
      </c>
      <c r="M7" s="13">
        <v>-50.7114524841309</v>
      </c>
      <c r="N7" s="13">
        <v>-25.3803615570068</v>
      </c>
      <c r="O7" s="3">
        <f t="shared" si="3"/>
        <v>169.0186283</v>
      </c>
      <c r="P7" s="18">
        <v>-64.32074610392253</v>
      </c>
      <c r="Q7" s="18">
        <v>143.08946906195766</v>
      </c>
    </row>
    <row r="8">
      <c r="A8" s="2"/>
      <c r="B8" s="2" t="s">
        <v>20</v>
      </c>
      <c r="C8" s="13">
        <v>-60.0911636352539</v>
      </c>
      <c r="D8" s="13">
        <v>144.102584838867</v>
      </c>
      <c r="E8" s="7">
        <f t="shared" si="1"/>
        <v>4.349226533</v>
      </c>
      <c r="G8" s="2" t="s">
        <v>20</v>
      </c>
      <c r="H8" s="13">
        <v>-151.736602783203</v>
      </c>
      <c r="I8" s="13">
        <v>171.599151611328</v>
      </c>
      <c r="J8" s="3">
        <f t="shared" si="2"/>
        <v>91.94745237</v>
      </c>
      <c r="K8" s="2"/>
      <c r="L8" s="2" t="s">
        <v>20</v>
      </c>
      <c r="M8" s="13">
        <v>128.769271850586</v>
      </c>
      <c r="N8" s="13">
        <v>136.797698974609</v>
      </c>
      <c r="O8" s="3">
        <f t="shared" si="3"/>
        <v>193.1924983</v>
      </c>
      <c r="P8" s="18">
        <v>-64.3207461039225</v>
      </c>
      <c r="Q8" s="18">
        <v>143.089469061958</v>
      </c>
    </row>
    <row r="9">
      <c r="A9" s="2"/>
      <c r="B9" s="2" t="s">
        <v>7</v>
      </c>
      <c r="C9" s="13">
        <v>-56.0831680297852</v>
      </c>
      <c r="D9" s="13">
        <v>174.376434326172</v>
      </c>
      <c r="E9" s="7">
        <f t="shared" si="1"/>
        <v>32.35323613</v>
      </c>
      <c r="G9" s="2" t="s">
        <v>7</v>
      </c>
      <c r="H9" s="13">
        <v>-63.6299057006836</v>
      </c>
      <c r="I9" s="13">
        <v>42.7167167663574</v>
      </c>
      <c r="J9" s="3">
        <f t="shared" si="2"/>
        <v>100.3751297</v>
      </c>
      <c r="K9" s="2"/>
      <c r="L9" s="2" t="s">
        <v>7</v>
      </c>
      <c r="M9" s="13">
        <v>-39.0433921813965</v>
      </c>
      <c r="N9" s="13">
        <v>174.955902099609</v>
      </c>
      <c r="O9" s="3">
        <f t="shared" si="3"/>
        <v>40.67449048</v>
      </c>
      <c r="P9" s="18">
        <v>-64.3207461039225</v>
      </c>
      <c r="Q9" s="18">
        <v>143.089469061958</v>
      </c>
    </row>
    <row r="10">
      <c r="A10" s="2"/>
      <c r="B10" s="2" t="s">
        <v>8</v>
      </c>
      <c r="C10" s="13">
        <v>-42.4655723571777</v>
      </c>
      <c r="D10" s="13">
        <v>149.847503662109</v>
      </c>
      <c r="E10" s="7">
        <f t="shared" si="1"/>
        <v>22.87618087</v>
      </c>
      <c r="G10" s="2" t="s">
        <v>8</v>
      </c>
      <c r="H10" s="13">
        <v>67.1025238037109</v>
      </c>
      <c r="I10" s="13">
        <v>143.415100097656</v>
      </c>
      <c r="J10" s="3">
        <f t="shared" si="2"/>
        <v>131.4236733</v>
      </c>
      <c r="K10" s="2"/>
      <c r="L10" s="2" t="s">
        <v>8</v>
      </c>
      <c r="M10" s="13">
        <v>-46.9670829772949</v>
      </c>
      <c r="N10" s="13">
        <v>143.062118530273</v>
      </c>
      <c r="O10" s="3">
        <f t="shared" si="3"/>
        <v>17.35368468</v>
      </c>
      <c r="P10" s="18">
        <v>-64.3207461039225</v>
      </c>
      <c r="Q10" s="18">
        <v>143.089469061958</v>
      </c>
    </row>
    <row r="11">
      <c r="A11" s="2"/>
      <c r="B11" s="2" t="s">
        <v>20</v>
      </c>
      <c r="C11" s="13">
        <v>-52.2801933288574</v>
      </c>
      <c r="D11" s="13">
        <v>133.64094543457</v>
      </c>
      <c r="E11" s="7">
        <f t="shared" si="1"/>
        <v>15.30521185</v>
      </c>
      <c r="G11" s="2" t="s">
        <v>20</v>
      </c>
      <c r="H11" s="13">
        <v>-67.5547332763672</v>
      </c>
      <c r="I11" s="13">
        <v>142.573867797852</v>
      </c>
      <c r="J11" s="3">
        <f t="shared" si="2"/>
        <v>3.274830941</v>
      </c>
      <c r="K11" s="2"/>
      <c r="L11" s="2" t="s">
        <v>20</v>
      </c>
      <c r="M11" s="13">
        <v>-48.5529899597168</v>
      </c>
      <c r="N11" s="13">
        <v>148.28466796875</v>
      </c>
      <c r="O11" s="3">
        <f t="shared" si="3"/>
        <v>16.60157298</v>
      </c>
      <c r="P11" s="18">
        <v>-64.3207461039225</v>
      </c>
      <c r="Q11" s="18">
        <v>143.089469061958</v>
      </c>
    </row>
    <row r="12">
      <c r="A12" s="2"/>
      <c r="B12" s="2" t="s">
        <v>7</v>
      </c>
      <c r="C12" s="13">
        <v>-59.632495880127</v>
      </c>
      <c r="D12" s="13">
        <v>164.718658447266</v>
      </c>
      <c r="E12" s="7">
        <f t="shared" si="1"/>
        <v>22.13146004</v>
      </c>
      <c r="G12" s="2" t="s">
        <v>7</v>
      </c>
      <c r="H12" s="13">
        <v>-58.7915992736816</v>
      </c>
      <c r="I12" s="11">
        <f>-172.513702392578+360</f>
        <v>187.4862976</v>
      </c>
      <c r="J12" s="3">
        <f t="shared" si="2"/>
        <v>44.73980163</v>
      </c>
      <c r="K12" s="2"/>
      <c r="L12" s="2" t="s">
        <v>7</v>
      </c>
      <c r="M12" s="13">
        <v>-42.1377487182617</v>
      </c>
      <c r="N12" s="13">
        <v>159.39990234375</v>
      </c>
      <c r="O12" s="3">
        <f t="shared" si="3"/>
        <v>27.53389923</v>
      </c>
      <c r="P12" s="18">
        <v>-64.3207461039225</v>
      </c>
      <c r="Q12" s="18">
        <v>143.089469061958</v>
      </c>
    </row>
    <row r="13">
      <c r="A13" s="2"/>
      <c r="B13" s="2" t="s">
        <v>8</v>
      </c>
      <c r="C13" s="13">
        <v>-62.0936622619629</v>
      </c>
      <c r="D13" s="13">
        <v>154.19873046875</v>
      </c>
      <c r="E13" s="7">
        <f t="shared" si="1"/>
        <v>11.33029529</v>
      </c>
      <c r="G13" s="2" t="s">
        <v>8</v>
      </c>
      <c r="H13" s="13">
        <v>-63.0690040588379</v>
      </c>
      <c r="I13" s="13">
        <v>159.462417602539</v>
      </c>
      <c r="J13" s="3">
        <f t="shared" si="2"/>
        <v>16.42072782</v>
      </c>
      <c r="K13" s="2"/>
      <c r="L13" s="2" t="s">
        <v>8</v>
      </c>
      <c r="M13" s="13">
        <v>-39.2761611938477</v>
      </c>
      <c r="N13" s="13">
        <v>141.655090332031</v>
      </c>
      <c r="O13" s="3">
        <f t="shared" si="3"/>
        <v>25.08562687</v>
      </c>
      <c r="P13" s="18">
        <v>-64.3207461039225</v>
      </c>
      <c r="Q13" s="18">
        <v>143.089469061958</v>
      </c>
    </row>
    <row r="14">
      <c r="A14" s="2"/>
      <c r="B14" s="2" t="s">
        <v>20</v>
      </c>
      <c r="C14" s="13">
        <v>-43.8573379516602</v>
      </c>
      <c r="D14" s="13">
        <v>136.772705078125</v>
      </c>
      <c r="E14" s="7">
        <f t="shared" si="1"/>
        <v>21.41617567</v>
      </c>
      <c r="G14" s="2" t="s">
        <v>20</v>
      </c>
      <c r="H14" s="13">
        <v>-69.4893951416016</v>
      </c>
      <c r="I14" s="13">
        <v>132.16716003418</v>
      </c>
      <c r="J14" s="3">
        <f t="shared" si="2"/>
        <v>12.0835329</v>
      </c>
      <c r="K14" s="2"/>
      <c r="L14" s="2" t="s">
        <v>20</v>
      </c>
      <c r="M14" s="13">
        <v>-61.9593124389648</v>
      </c>
      <c r="N14" s="13">
        <v>139.912231445313</v>
      </c>
      <c r="O14" s="3">
        <f t="shared" si="3"/>
        <v>3.958687639</v>
      </c>
      <c r="P14" s="18">
        <v>-64.3207461039225</v>
      </c>
      <c r="Q14" s="18">
        <v>143.089469061958</v>
      </c>
    </row>
    <row r="15">
      <c r="A15" s="2"/>
      <c r="B15" s="2" t="s">
        <v>7</v>
      </c>
      <c r="C15" s="13">
        <v>-55.66796875</v>
      </c>
      <c r="D15" s="13">
        <v>169.548965454102</v>
      </c>
      <c r="E15" s="7">
        <f t="shared" si="1"/>
        <v>27.83838187</v>
      </c>
      <c r="G15" s="2" t="s">
        <v>7</v>
      </c>
      <c r="H15" s="13">
        <v>-68.846794128418</v>
      </c>
      <c r="I15" s="13">
        <v>173.938674926758</v>
      </c>
      <c r="J15" s="3">
        <f t="shared" si="2"/>
        <v>31.17945819</v>
      </c>
      <c r="K15" s="2"/>
      <c r="L15" s="2" t="s">
        <v>7</v>
      </c>
      <c r="M15" s="13">
        <v>-64.4188613891602</v>
      </c>
      <c r="N15" s="13">
        <v>173.717559814453</v>
      </c>
      <c r="O15" s="3">
        <f t="shared" si="3"/>
        <v>30.62824791</v>
      </c>
      <c r="P15" s="18">
        <v>-64.3207461039225</v>
      </c>
      <c r="Q15" s="18">
        <v>143.089469061958</v>
      </c>
    </row>
    <row r="16">
      <c r="A16" s="2"/>
      <c r="B16" s="2" t="s">
        <v>8</v>
      </c>
      <c r="C16" s="13">
        <v>-53.4415473937988</v>
      </c>
      <c r="D16" s="13">
        <v>150.806304931641</v>
      </c>
      <c r="E16" s="7">
        <f t="shared" si="1"/>
        <v>13.33816031</v>
      </c>
      <c r="G16" s="2" t="s">
        <v>8</v>
      </c>
      <c r="H16" s="13">
        <v>-69.7748565673828</v>
      </c>
      <c r="I16" s="13">
        <v>157.192321777344</v>
      </c>
      <c r="J16" s="3">
        <f t="shared" si="2"/>
        <v>15.12077298</v>
      </c>
      <c r="K16" s="2"/>
      <c r="L16" s="2" t="s">
        <v>8</v>
      </c>
      <c r="M16" s="13">
        <v>-83.5733032226563</v>
      </c>
      <c r="N16" s="13">
        <v>166.499816894531</v>
      </c>
      <c r="O16" s="3">
        <f t="shared" si="3"/>
        <v>30.31015245</v>
      </c>
      <c r="P16" s="18">
        <v>-64.3207461039225</v>
      </c>
      <c r="Q16" s="18">
        <v>143.089469061958</v>
      </c>
    </row>
    <row r="17">
      <c r="A17" s="2"/>
      <c r="B17" s="2" t="s">
        <v>21</v>
      </c>
      <c r="C17" s="13">
        <v>-36.1188354492187</v>
      </c>
      <c r="D17" s="13">
        <v>131.674301147461</v>
      </c>
      <c r="E17" s="7">
        <f t="shared" si="1"/>
        <v>30.42455954</v>
      </c>
      <c r="G17" s="2" t="s">
        <v>21</v>
      </c>
      <c r="H17" s="13">
        <v>-46.2930221557617</v>
      </c>
      <c r="I17" s="13">
        <v>157.480545043945</v>
      </c>
      <c r="J17" s="3">
        <f t="shared" si="2"/>
        <v>23.06733402</v>
      </c>
      <c r="K17" s="2"/>
      <c r="L17" s="2" t="s">
        <v>21</v>
      </c>
      <c r="M17" s="13">
        <v>-48.6297302246094</v>
      </c>
      <c r="N17" s="13">
        <v>143.146743774414</v>
      </c>
      <c r="O17" s="3">
        <f t="shared" si="3"/>
        <v>15.69112041</v>
      </c>
      <c r="P17" s="18">
        <v>-64.3207461039225</v>
      </c>
      <c r="Q17" s="18">
        <v>143.089469061958</v>
      </c>
    </row>
    <row r="18">
      <c r="A18" s="2"/>
      <c r="B18" s="2" t="s">
        <v>7</v>
      </c>
      <c r="C18" s="13">
        <v>-70.7383193969727</v>
      </c>
      <c r="D18" s="11">
        <f>-171.602752685547+360</f>
        <v>188.3972473</v>
      </c>
      <c r="E18" s="7">
        <f t="shared" si="1"/>
        <v>45.76002641</v>
      </c>
      <c r="G18" s="2" t="s">
        <v>7</v>
      </c>
      <c r="H18" s="13">
        <v>-75.6758270263672</v>
      </c>
      <c r="I18" s="17">
        <f>-174.133392333984+360</f>
        <v>185.8666077</v>
      </c>
      <c r="J18" s="3">
        <f t="shared" si="2"/>
        <v>44.25857487</v>
      </c>
      <c r="K18" s="2"/>
      <c r="L18" s="2" t="s">
        <v>7</v>
      </c>
      <c r="M18" s="13">
        <v>-72.1026229858398</v>
      </c>
      <c r="N18" s="11">
        <f>-163.919876098633+360</f>
        <v>196.0801239</v>
      </c>
      <c r="O18" s="3">
        <f t="shared" si="3"/>
        <v>53.55900585</v>
      </c>
      <c r="P18" s="18">
        <v>-64.3207461039225</v>
      </c>
      <c r="Q18" s="18">
        <v>143.089469061958</v>
      </c>
    </row>
    <row r="19">
      <c r="A19" s="2"/>
      <c r="B19" s="2" t="s">
        <v>8</v>
      </c>
      <c r="C19" s="13">
        <v>-45.9984359741211</v>
      </c>
      <c r="D19" s="13">
        <v>137.00830078125</v>
      </c>
      <c r="E19" s="7">
        <f t="shared" si="1"/>
        <v>19.30511995</v>
      </c>
      <c r="G19" s="2" t="s">
        <v>8</v>
      </c>
      <c r="H19" s="13">
        <v>-48.5773887634277</v>
      </c>
      <c r="I19" s="13">
        <v>146.948654174805</v>
      </c>
      <c r="J19" s="3">
        <f t="shared" si="2"/>
        <v>16.20946051</v>
      </c>
      <c r="K19" s="2"/>
      <c r="L19" s="2" t="s">
        <v>8</v>
      </c>
      <c r="M19" s="13">
        <v>-59.9893531799316</v>
      </c>
      <c r="N19" s="13">
        <v>157.366302490234</v>
      </c>
      <c r="O19" s="3">
        <f t="shared" si="3"/>
        <v>14.91941478</v>
      </c>
      <c r="P19" s="18">
        <v>-64.3207461039225</v>
      </c>
      <c r="Q19" s="18">
        <v>143.089469061958</v>
      </c>
    </row>
    <row r="20">
      <c r="A20" s="2"/>
      <c r="B20" s="2" t="s">
        <v>21</v>
      </c>
      <c r="C20" s="13">
        <v>-36.4485092163086</v>
      </c>
      <c r="D20" s="13">
        <v>133.224044799805</v>
      </c>
      <c r="E20" s="7">
        <f t="shared" si="1"/>
        <v>29.56667355</v>
      </c>
      <c r="G20" s="2" t="s">
        <v>21</v>
      </c>
      <c r="H20" s="13">
        <v>-39.8470115661621</v>
      </c>
      <c r="I20" s="13">
        <v>148.425537109375</v>
      </c>
      <c r="J20" s="3">
        <f t="shared" si="2"/>
        <v>25.04869866</v>
      </c>
      <c r="K20" s="2"/>
      <c r="L20" s="2" t="s">
        <v>21</v>
      </c>
      <c r="M20" s="13">
        <v>-52.1054763793945</v>
      </c>
      <c r="N20" s="13">
        <v>134.458969116211</v>
      </c>
      <c r="O20" s="3">
        <f t="shared" si="3"/>
        <v>14.95654852</v>
      </c>
      <c r="P20" s="18">
        <v>-64.3207461039225</v>
      </c>
      <c r="Q20" s="18">
        <v>143.089469061958</v>
      </c>
    </row>
    <row r="21">
      <c r="A21" s="2"/>
      <c r="B21" s="2" t="s">
        <v>7</v>
      </c>
      <c r="C21" s="13">
        <v>-79.5508270263672</v>
      </c>
      <c r="D21" s="19">
        <v>175.956069946289</v>
      </c>
      <c r="E21" s="7">
        <f t="shared" si="1"/>
        <v>36.22387084</v>
      </c>
      <c r="G21" s="2" t="s">
        <v>7</v>
      </c>
      <c r="H21" s="13">
        <v>-62.9071769714355</v>
      </c>
      <c r="I21" s="19">
        <v>176.224197387695</v>
      </c>
      <c r="J21" s="3">
        <f t="shared" si="2"/>
        <v>33.16486694</v>
      </c>
      <c r="K21" s="2"/>
      <c r="L21" s="2" t="s">
        <v>7</v>
      </c>
      <c r="M21" s="13">
        <v>-68.2716979980469</v>
      </c>
      <c r="N21" s="17">
        <f>-175.436477661133+360</f>
        <v>184.5635223</v>
      </c>
      <c r="O21" s="3">
        <f t="shared" si="3"/>
        <v>41.66181844</v>
      </c>
      <c r="P21" s="18">
        <v>-64.3207461039225</v>
      </c>
      <c r="Q21" s="18">
        <v>143.089469061958</v>
      </c>
    </row>
    <row r="22">
      <c r="A22" s="2"/>
      <c r="B22" s="2" t="s">
        <v>8</v>
      </c>
      <c r="C22" s="13">
        <v>-30.2501564025879</v>
      </c>
      <c r="D22" s="13">
        <v>126.659088134766</v>
      </c>
      <c r="E22" s="7">
        <f t="shared" si="1"/>
        <v>37.82542135</v>
      </c>
      <c r="G22" s="2" t="s">
        <v>8</v>
      </c>
      <c r="H22" s="13">
        <v>-50.6932144165039</v>
      </c>
      <c r="I22" s="13">
        <v>138.085342407227</v>
      </c>
      <c r="J22" s="3">
        <f t="shared" si="2"/>
        <v>14.51726226</v>
      </c>
      <c r="K22" s="2"/>
      <c r="L22" s="2" t="s">
        <v>8</v>
      </c>
      <c r="M22" s="13">
        <v>-49.965389251709</v>
      </c>
      <c r="N22" s="13">
        <v>155.598449707031</v>
      </c>
      <c r="O22" s="3">
        <f t="shared" si="3"/>
        <v>19.04076855</v>
      </c>
      <c r="P22" s="18">
        <v>-64.3207461039225</v>
      </c>
      <c r="Q22" s="18">
        <v>143.089469061958</v>
      </c>
    </row>
    <row r="23">
      <c r="A23" s="2"/>
      <c r="B23" s="2" t="s">
        <v>21</v>
      </c>
      <c r="C23" s="13">
        <v>-35.5610389709473</v>
      </c>
      <c r="D23" s="13">
        <v>131.394378662109</v>
      </c>
      <c r="E23" s="7">
        <f t="shared" si="1"/>
        <v>31.04667283</v>
      </c>
      <c r="G23" s="2" t="s">
        <v>21</v>
      </c>
      <c r="H23" s="13">
        <v>-34.7233543395996</v>
      </c>
      <c r="I23" s="13">
        <v>135.447402954102</v>
      </c>
      <c r="J23" s="3">
        <f t="shared" si="2"/>
        <v>30.56806788</v>
      </c>
      <c r="K23" s="2"/>
      <c r="L23" s="2" t="s">
        <v>21</v>
      </c>
      <c r="M23" s="13">
        <v>-51.4952201843262</v>
      </c>
      <c r="N23" s="13">
        <v>142.818389892578</v>
      </c>
      <c r="O23" s="3">
        <f t="shared" si="3"/>
        <v>12.82839035</v>
      </c>
      <c r="P23" s="18">
        <v>-64.3207461039225</v>
      </c>
      <c r="Q23" s="18">
        <v>143.089469061958</v>
      </c>
    </row>
    <row r="24">
      <c r="A24" s="2"/>
      <c r="B24" s="2" t="s">
        <v>7</v>
      </c>
      <c r="C24" s="13">
        <v>-67.9657669067383</v>
      </c>
      <c r="D24" s="19">
        <v>154.990936279297</v>
      </c>
      <c r="E24" s="7">
        <f t="shared" si="1"/>
        <v>12.44713214</v>
      </c>
      <c r="G24" s="2" t="s">
        <v>7</v>
      </c>
      <c r="H24" s="13">
        <v>-63.8511848449707</v>
      </c>
      <c r="I24" s="17">
        <f>-172.706817626953+360</f>
        <v>187.2931824</v>
      </c>
      <c r="J24" s="3">
        <f t="shared" si="2"/>
        <v>44.20620724</v>
      </c>
      <c r="K24" s="2"/>
      <c r="L24" s="2" t="s">
        <v>7</v>
      </c>
      <c r="M24" s="13">
        <v>-51.1846313476562</v>
      </c>
      <c r="N24" s="13">
        <v>162.290893554688</v>
      </c>
      <c r="O24" s="3">
        <f t="shared" si="3"/>
        <v>23.26482782</v>
      </c>
      <c r="P24" s="18">
        <v>-64.3207461039225</v>
      </c>
      <c r="Q24" s="18">
        <v>143.089469061958</v>
      </c>
    </row>
    <row r="25">
      <c r="A25" s="2"/>
      <c r="B25" s="2" t="s">
        <v>8</v>
      </c>
      <c r="C25" s="13">
        <v>-49.6313591003418</v>
      </c>
      <c r="D25" s="13">
        <v>149.491714477539</v>
      </c>
      <c r="E25" s="7">
        <f t="shared" si="1"/>
        <v>16.02394573</v>
      </c>
      <c r="G25" s="2" t="s">
        <v>8</v>
      </c>
      <c r="H25" s="13">
        <v>-88.838508605957</v>
      </c>
      <c r="I25" s="13">
        <v>142.263092041016</v>
      </c>
      <c r="J25" s="3">
        <f t="shared" si="2"/>
        <v>24.53168517</v>
      </c>
      <c r="K25" s="2"/>
      <c r="L25" s="2" t="s">
        <v>8</v>
      </c>
      <c r="M25" s="13">
        <v>-38.4387588500977</v>
      </c>
      <c r="N25" s="13">
        <v>140.374298095703</v>
      </c>
      <c r="O25" s="3">
        <f t="shared" si="3"/>
        <v>26.02401617</v>
      </c>
      <c r="P25" s="18">
        <v>-64.3207461039225</v>
      </c>
      <c r="Q25" s="18">
        <v>143.089469061958</v>
      </c>
    </row>
    <row r="26">
      <c r="A26" s="2"/>
      <c r="B26" s="2" t="s">
        <v>21</v>
      </c>
      <c r="C26" s="13">
        <v>-42.310474395752</v>
      </c>
      <c r="D26" s="13">
        <v>141.609909057617</v>
      </c>
      <c r="E26" s="7">
        <f t="shared" si="1"/>
        <v>22.05994466</v>
      </c>
      <c r="G26" s="2" t="s">
        <v>21</v>
      </c>
      <c r="H26" s="13">
        <v>-44.2370529174805</v>
      </c>
      <c r="I26" s="13">
        <v>131.782760620117</v>
      </c>
      <c r="J26" s="3">
        <f t="shared" si="2"/>
        <v>23.0476981</v>
      </c>
      <c r="K26" s="2"/>
      <c r="L26" s="2" t="s">
        <v>21</v>
      </c>
      <c r="M26" s="13">
        <v>-38.5775909423828</v>
      </c>
      <c r="N26" s="13">
        <v>136.079437255859</v>
      </c>
      <c r="O26" s="3">
        <f t="shared" si="3"/>
        <v>26.68052817</v>
      </c>
      <c r="P26" s="18">
        <v>-64.3207461039225</v>
      </c>
      <c r="Q26" s="18">
        <v>143.089469061958</v>
      </c>
    </row>
    <row r="27">
      <c r="A27" s="2"/>
      <c r="B27" s="2" t="s">
        <v>7</v>
      </c>
      <c r="C27" s="13">
        <v>-63.8796310424805</v>
      </c>
      <c r="D27" s="13">
        <v>162.852249145508</v>
      </c>
      <c r="E27" s="7">
        <f t="shared" si="1"/>
        <v>19.76770242</v>
      </c>
      <c r="G27" s="2" t="s">
        <v>7</v>
      </c>
      <c r="H27" s="13">
        <v>-48.8487968444824</v>
      </c>
      <c r="I27" s="19">
        <v>171.132781982422</v>
      </c>
      <c r="J27" s="3">
        <f t="shared" si="2"/>
        <v>32.02824712</v>
      </c>
      <c r="K27" s="2"/>
      <c r="L27" s="2" t="s">
        <v>7</v>
      </c>
      <c r="M27" s="13">
        <v>-61.3775024414062</v>
      </c>
      <c r="N27" s="13">
        <v>160.416931152344</v>
      </c>
      <c r="O27" s="3">
        <f t="shared" si="3"/>
        <v>17.57565435</v>
      </c>
      <c r="P27" s="18">
        <v>-64.3207461039225</v>
      </c>
      <c r="Q27" s="18">
        <v>143.089469061958</v>
      </c>
    </row>
    <row r="28">
      <c r="A28" s="2"/>
      <c r="B28" s="2" t="s">
        <v>15</v>
      </c>
      <c r="C28" s="13">
        <v>-64.5107345581055</v>
      </c>
      <c r="D28" s="13">
        <v>149.455963134766</v>
      </c>
      <c r="E28" s="7">
        <f t="shared" si="1"/>
        <v>6.369328253</v>
      </c>
      <c r="G28" s="2" t="s">
        <v>15</v>
      </c>
      <c r="H28" s="13">
        <v>-61.8368911743164</v>
      </c>
      <c r="I28" s="13">
        <v>146.617156982422</v>
      </c>
      <c r="J28" s="3">
        <f t="shared" si="2"/>
        <v>4.314408114</v>
      </c>
      <c r="K28" s="2"/>
      <c r="L28" s="2" t="s">
        <v>15</v>
      </c>
      <c r="M28" s="13">
        <v>-61.9515571594238</v>
      </c>
      <c r="N28" s="13">
        <v>144.887329101563</v>
      </c>
      <c r="O28" s="3">
        <f t="shared" si="3"/>
        <v>2.974114486</v>
      </c>
      <c r="P28" s="18">
        <v>-64.3207461039225</v>
      </c>
      <c r="Q28" s="18">
        <v>143.089469061958</v>
      </c>
    </row>
    <row r="29">
      <c r="A29" s="2"/>
      <c r="B29" s="2" t="s">
        <v>21</v>
      </c>
      <c r="C29" s="13">
        <v>-57.0586585998535</v>
      </c>
      <c r="D29" s="13">
        <v>151.118453979492</v>
      </c>
      <c r="E29" s="7">
        <f t="shared" si="1"/>
        <v>10.82601098</v>
      </c>
      <c r="G29" s="2" t="s">
        <v>21</v>
      </c>
      <c r="H29" s="13">
        <v>-50.0969772338867</v>
      </c>
      <c r="I29" s="13">
        <v>152.823150634766</v>
      </c>
      <c r="J29" s="3">
        <f t="shared" si="2"/>
        <v>17.23543321</v>
      </c>
      <c r="K29" s="2"/>
      <c r="L29" s="2" t="s">
        <v>21</v>
      </c>
      <c r="M29" s="13">
        <v>-45.0666275024414</v>
      </c>
      <c r="N29" s="13">
        <v>150.827041625977</v>
      </c>
      <c r="O29" s="3">
        <f t="shared" si="3"/>
        <v>20.75068944</v>
      </c>
      <c r="P29" s="18">
        <v>-64.3207461039225</v>
      </c>
      <c r="Q29" s="18">
        <v>143.089469061958</v>
      </c>
    </row>
    <row r="30">
      <c r="A30" s="2"/>
      <c r="B30" s="2" t="s">
        <v>7</v>
      </c>
      <c r="C30" s="13">
        <v>-77.0653839111328</v>
      </c>
      <c r="D30" s="13">
        <v>169.516860961914</v>
      </c>
      <c r="E30" s="7">
        <f t="shared" si="1"/>
        <v>29.33995289</v>
      </c>
      <c r="G30" s="2" t="s">
        <v>7</v>
      </c>
      <c r="H30" s="13">
        <v>-95.7771987915039</v>
      </c>
      <c r="I30" s="17">
        <f>-173.29655456543+360</f>
        <v>186.7034454</v>
      </c>
      <c r="J30" s="3">
        <f t="shared" si="2"/>
        <v>53.77441167</v>
      </c>
      <c r="K30" s="2"/>
      <c r="L30" s="2" t="s">
        <v>7</v>
      </c>
      <c r="M30" s="13">
        <v>-67.5674514770508</v>
      </c>
      <c r="N30" s="13">
        <v>168.627014160156</v>
      </c>
      <c r="O30" s="3">
        <f t="shared" si="3"/>
        <v>25.74310209</v>
      </c>
      <c r="P30" s="18">
        <v>-64.3207461039225</v>
      </c>
      <c r="Q30" s="18">
        <v>143.089469061958</v>
      </c>
    </row>
    <row r="31">
      <c r="A31" s="2"/>
      <c r="B31" s="2" t="s">
        <v>15</v>
      </c>
      <c r="C31" s="13">
        <v>-66.5416946411133</v>
      </c>
      <c r="D31" s="13">
        <v>142.563049316406</v>
      </c>
      <c r="E31" s="7">
        <f t="shared" si="1"/>
        <v>2.28248333</v>
      </c>
      <c r="G31" s="2" t="s">
        <v>15</v>
      </c>
      <c r="H31" s="13">
        <v>-56.056266784668</v>
      </c>
      <c r="I31" s="13">
        <v>130.608551025391</v>
      </c>
      <c r="J31" s="3">
        <f t="shared" si="2"/>
        <v>14.96913269</v>
      </c>
      <c r="K31" s="2"/>
      <c r="L31" s="2" t="s">
        <v>15</v>
      </c>
      <c r="M31" s="13">
        <v>-56.0078887939453</v>
      </c>
      <c r="N31" s="13">
        <v>146.33610534668</v>
      </c>
      <c r="O31" s="3">
        <f t="shared" si="3"/>
        <v>8.924362376</v>
      </c>
      <c r="P31" s="18">
        <v>-64.3207461039225</v>
      </c>
      <c r="Q31" s="18">
        <v>143.089469061958</v>
      </c>
    </row>
    <row r="32">
      <c r="A32" s="2"/>
      <c r="B32" s="2" t="s">
        <v>21</v>
      </c>
      <c r="C32" s="13">
        <v>-50.0427627563477</v>
      </c>
      <c r="D32" s="13">
        <v>160.914779663086</v>
      </c>
      <c r="E32" s="7">
        <f t="shared" si="1"/>
        <v>22.83861875</v>
      </c>
      <c r="G32" s="2" t="s">
        <v>21</v>
      </c>
      <c r="H32" s="13">
        <v>-48.5904922485352</v>
      </c>
      <c r="I32" s="13">
        <v>130.948532104492</v>
      </c>
      <c r="J32" s="3">
        <f t="shared" si="2"/>
        <v>19.87066271</v>
      </c>
      <c r="K32" s="2"/>
      <c r="L32" s="2" t="s">
        <v>21</v>
      </c>
      <c r="M32" s="13">
        <v>-52.0346717834473</v>
      </c>
      <c r="N32" s="13">
        <v>130.560470581055</v>
      </c>
      <c r="O32" s="3">
        <f t="shared" si="3"/>
        <v>17.54774701</v>
      </c>
      <c r="P32" s="18">
        <v>-64.3207461039225</v>
      </c>
      <c r="Q32" s="18">
        <v>143.089469061958</v>
      </c>
    </row>
    <row r="33">
      <c r="A33" s="2"/>
      <c r="B33" s="2" t="s">
        <v>7</v>
      </c>
      <c r="C33" s="13">
        <v>-81.2363204956055</v>
      </c>
      <c r="D33" s="13">
        <v>179.083892822266</v>
      </c>
      <c r="E33" s="7">
        <f t="shared" si="1"/>
        <v>39.77103467</v>
      </c>
      <c r="G33" s="2" t="s">
        <v>7</v>
      </c>
      <c r="H33" s="13">
        <v>-54.960578918457</v>
      </c>
      <c r="I33" s="13">
        <v>162.374755859375</v>
      </c>
      <c r="J33" s="3">
        <f t="shared" si="2"/>
        <v>21.43676787</v>
      </c>
      <c r="K33" s="2"/>
      <c r="L33" s="2" t="s">
        <v>7</v>
      </c>
      <c r="M33" s="13">
        <v>-47.4732894897461</v>
      </c>
      <c r="N33" s="13">
        <v>167.025497436523</v>
      </c>
      <c r="O33" s="3">
        <f t="shared" si="3"/>
        <v>29.270638</v>
      </c>
      <c r="P33" s="18">
        <v>-64.3207461039225</v>
      </c>
      <c r="Q33" s="18">
        <v>143.089469061958</v>
      </c>
    </row>
    <row r="34">
      <c r="A34" s="2"/>
      <c r="B34" s="2" t="s">
        <v>15</v>
      </c>
      <c r="C34" s="13">
        <v>-72.1519317626953</v>
      </c>
      <c r="D34" s="13">
        <v>163.023132324219</v>
      </c>
      <c r="E34" s="7">
        <f t="shared" si="1"/>
        <v>21.41677847</v>
      </c>
      <c r="G34" s="2" t="s">
        <v>15</v>
      </c>
      <c r="H34" s="13">
        <v>-72.2394027709961</v>
      </c>
      <c r="I34" s="13">
        <v>157.743682861328</v>
      </c>
      <c r="J34" s="3">
        <f t="shared" si="2"/>
        <v>16.65686361</v>
      </c>
      <c r="K34" s="2"/>
      <c r="L34" s="2" t="s">
        <v>15</v>
      </c>
      <c r="M34" s="13">
        <v>-84.0858764648437</v>
      </c>
      <c r="N34" s="13">
        <v>136.53401184082</v>
      </c>
      <c r="O34" s="3">
        <f t="shared" si="3"/>
        <v>20.82389007</v>
      </c>
      <c r="P34" s="18">
        <v>-64.3207461039225</v>
      </c>
      <c r="Q34" s="18">
        <v>143.089469061958</v>
      </c>
    </row>
    <row r="35">
      <c r="A35" s="2"/>
      <c r="B35" s="2" t="s">
        <v>21</v>
      </c>
      <c r="C35" s="13">
        <v>-34.8662071228027</v>
      </c>
      <c r="D35" s="13">
        <v>135.806564331055</v>
      </c>
      <c r="E35" s="7">
        <f t="shared" si="1"/>
        <v>30.34156502</v>
      </c>
      <c r="G35" s="2" t="s">
        <v>21</v>
      </c>
      <c r="H35" s="13">
        <v>-51.7321510314941</v>
      </c>
      <c r="I35" s="13">
        <v>122.25431060791</v>
      </c>
      <c r="J35" s="3">
        <f t="shared" si="2"/>
        <v>24.34289534</v>
      </c>
      <c r="K35" s="2"/>
      <c r="L35" s="2" t="s">
        <v>21</v>
      </c>
      <c r="M35" s="13">
        <v>-44.1583366394043</v>
      </c>
      <c r="N35" s="13">
        <v>152.539688110352</v>
      </c>
      <c r="O35" s="3">
        <f t="shared" si="3"/>
        <v>22.26722694</v>
      </c>
      <c r="P35" s="18">
        <v>-64.3207461039225</v>
      </c>
      <c r="Q35" s="18">
        <v>143.089469061958</v>
      </c>
    </row>
    <row r="36">
      <c r="A36" s="2"/>
      <c r="B36" s="2" t="s">
        <v>7</v>
      </c>
      <c r="C36" s="13">
        <v>-65.6685104370117</v>
      </c>
      <c r="D36" s="19">
        <v>167.020462036133</v>
      </c>
      <c r="E36" s="7">
        <f t="shared" si="1"/>
        <v>23.96891515</v>
      </c>
      <c r="G36" s="2" t="s">
        <v>7</v>
      </c>
      <c r="H36" s="13">
        <v>-59.140811920166</v>
      </c>
      <c r="I36" s="13">
        <v>164.020721435547</v>
      </c>
      <c r="J36" s="3">
        <f t="shared" si="2"/>
        <v>21.56267711</v>
      </c>
      <c r="K36" s="2"/>
      <c r="L36" s="2" t="s">
        <v>7</v>
      </c>
      <c r="M36" s="13">
        <v>-52.4802169799805</v>
      </c>
      <c r="N36" s="19">
        <v>154.182998657227</v>
      </c>
      <c r="O36" s="3">
        <f t="shared" si="3"/>
        <v>16.22542846</v>
      </c>
      <c r="P36" s="18">
        <v>-64.3207461039225</v>
      </c>
      <c r="Q36" s="18">
        <v>143.089469061958</v>
      </c>
    </row>
    <row r="37">
      <c r="A37" s="2"/>
      <c r="B37" s="2" t="s">
        <v>15</v>
      </c>
      <c r="C37" s="13">
        <v>-57.4379081726074</v>
      </c>
      <c r="D37" s="13">
        <v>152.378021240234</v>
      </c>
      <c r="E37" s="7">
        <f t="shared" si="1"/>
        <v>11.56073785</v>
      </c>
      <c r="G37" s="2" t="s">
        <v>15</v>
      </c>
      <c r="H37" s="13">
        <v>-58.0898628234863</v>
      </c>
      <c r="I37" s="13">
        <v>124.790672302246</v>
      </c>
      <c r="J37" s="3">
        <f t="shared" si="2"/>
        <v>19.3305424</v>
      </c>
      <c r="K37" s="2"/>
      <c r="L37" s="2" t="s">
        <v>15</v>
      </c>
      <c r="M37" s="13">
        <v>-64.9512329101563</v>
      </c>
      <c r="N37" s="13">
        <v>145.52587890625</v>
      </c>
      <c r="O37" s="3">
        <f t="shared" si="3"/>
        <v>2.516665759</v>
      </c>
      <c r="P37" s="18">
        <v>-64.3207461039225</v>
      </c>
      <c r="Q37" s="18">
        <v>143.089469061958</v>
      </c>
    </row>
    <row r="38">
      <c r="A38" s="2"/>
      <c r="B38" s="2" t="s">
        <v>21</v>
      </c>
      <c r="C38" s="13">
        <v>-38.9592247009277</v>
      </c>
      <c r="D38" s="13">
        <v>142.966690063477</v>
      </c>
      <c r="E38" s="7">
        <f t="shared" si="1"/>
        <v>25.3618186</v>
      </c>
      <c r="G38" s="2" t="s">
        <v>21</v>
      </c>
      <c r="H38" s="13">
        <v>-48.4004707336426</v>
      </c>
      <c r="I38" s="13">
        <v>134.630035400391</v>
      </c>
      <c r="J38" s="3">
        <f t="shared" si="2"/>
        <v>18.02823302</v>
      </c>
      <c r="K38" s="2"/>
      <c r="L38" s="2" t="s">
        <v>21</v>
      </c>
      <c r="M38" s="13">
        <v>-42.6957473754883</v>
      </c>
      <c r="N38" s="13">
        <v>137.515701293945</v>
      </c>
      <c r="O38" s="3">
        <f t="shared" si="3"/>
        <v>22.33175894</v>
      </c>
      <c r="P38" s="18">
        <v>-64.3207461039225</v>
      </c>
      <c r="Q38" s="18">
        <v>143.089469061958</v>
      </c>
    </row>
    <row r="39">
      <c r="A39" s="2"/>
      <c r="B39" s="2" t="s">
        <v>7</v>
      </c>
      <c r="C39" s="13">
        <v>4.49514007568359</v>
      </c>
      <c r="D39" s="13">
        <v>0.0</v>
      </c>
      <c r="E39" s="7">
        <f t="shared" si="1"/>
        <v>158.7772728</v>
      </c>
      <c r="G39" s="2" t="s">
        <v>7</v>
      </c>
      <c r="H39" s="13">
        <v>47.9113235473633</v>
      </c>
      <c r="I39" s="13">
        <v>0.0</v>
      </c>
      <c r="J39" s="3">
        <f t="shared" si="2"/>
        <v>181.85333</v>
      </c>
      <c r="K39" s="2"/>
      <c r="L39" s="2" t="s">
        <v>7</v>
      </c>
      <c r="M39" s="13">
        <v>-48.4950828552246</v>
      </c>
      <c r="N39" s="13">
        <v>0.0</v>
      </c>
      <c r="O39" s="3">
        <f t="shared" si="3"/>
        <v>143.9619664</v>
      </c>
      <c r="P39" s="18">
        <v>-64.3207461039225</v>
      </c>
      <c r="Q39" s="18">
        <v>143.089469061958</v>
      </c>
    </row>
    <row r="40">
      <c r="P40" s="18">
        <v>-64.3207461039225</v>
      </c>
      <c r="Q40" s="18">
        <v>143.089469061958</v>
      </c>
    </row>
    <row r="41">
      <c r="C41" s="1" t="s">
        <v>16</v>
      </c>
      <c r="G41" s="8" t="s">
        <v>17</v>
      </c>
      <c r="H41" s="8" t="s">
        <v>22</v>
      </c>
    </row>
    <row r="42">
      <c r="A42" s="3"/>
      <c r="C42" s="2" t="s">
        <v>19</v>
      </c>
      <c r="D42" s="3">
        <f t="shared" ref="D42:D79" si="4">AVERAGE(E2,J2,O2)</f>
        <v>90.90090132</v>
      </c>
      <c r="F42" s="3">
        <v>71.934206455097</v>
      </c>
      <c r="G42" s="3">
        <f t="shared" ref="G42:G79" si="5">STDEV(E2,J2,O2)</f>
        <v>18.95079919</v>
      </c>
      <c r="H42" s="7">
        <f t="shared" ref="H42:H79" si="6">G42/SQRT(3)</f>
        <v>10.94124902</v>
      </c>
    </row>
    <row r="43">
      <c r="A43" s="3"/>
      <c r="C43" s="2" t="s">
        <v>7</v>
      </c>
      <c r="D43" s="3">
        <f t="shared" si="4"/>
        <v>165.0387899</v>
      </c>
      <c r="F43" s="3">
        <v>123.949106963662</v>
      </c>
      <c r="G43" s="3">
        <f t="shared" si="5"/>
        <v>18.63295198</v>
      </c>
      <c r="H43" s="7">
        <f t="shared" si="6"/>
        <v>10.75773984</v>
      </c>
    </row>
    <row r="44">
      <c r="A44" s="3"/>
      <c r="C44" s="2" t="s">
        <v>8</v>
      </c>
      <c r="D44" s="3">
        <f t="shared" si="4"/>
        <v>19.71348842</v>
      </c>
      <c r="F44" s="3">
        <v>33.5044674353153</v>
      </c>
      <c r="G44" s="3">
        <f t="shared" si="5"/>
        <v>5.918952379</v>
      </c>
      <c r="H44" s="7">
        <f t="shared" si="6"/>
        <v>3.417308749</v>
      </c>
      <c r="K44" s="10">
        <v>-60.0911636352539</v>
      </c>
      <c r="L44" s="10">
        <v>144.102584838867</v>
      </c>
    </row>
    <row r="45">
      <c r="A45" s="3"/>
      <c r="C45" s="2" t="s">
        <v>20</v>
      </c>
      <c r="D45" s="3">
        <f t="shared" si="4"/>
        <v>150.0975739</v>
      </c>
      <c r="F45" s="3">
        <v>73.5136195424533</v>
      </c>
      <c r="G45" s="3">
        <f t="shared" si="5"/>
        <v>53.13405277</v>
      </c>
      <c r="H45" s="7">
        <f t="shared" si="6"/>
        <v>30.67695967</v>
      </c>
      <c r="K45" s="10">
        <v>-64.5107345581055</v>
      </c>
      <c r="L45" s="10">
        <v>149.455963134766</v>
      </c>
    </row>
    <row r="46">
      <c r="A46" s="3"/>
      <c r="C46" s="2" t="s">
        <v>7</v>
      </c>
      <c r="D46" s="3">
        <f t="shared" si="4"/>
        <v>73.96825742</v>
      </c>
      <c r="F46" s="3">
        <v>107.321864191733</v>
      </c>
      <c r="G46" s="3">
        <f t="shared" si="5"/>
        <v>57.19225473</v>
      </c>
      <c r="H46" s="7">
        <f t="shared" si="6"/>
        <v>33.01996367</v>
      </c>
      <c r="K46" s="10">
        <v>-66.5416946411133</v>
      </c>
      <c r="L46" s="10">
        <v>142.563049316406</v>
      </c>
    </row>
    <row r="47">
      <c r="A47" s="3"/>
      <c r="C47" s="2" t="s">
        <v>8</v>
      </c>
      <c r="D47" s="3">
        <f t="shared" si="4"/>
        <v>82.05954369</v>
      </c>
      <c r="F47" s="3">
        <v>26.0371001552945</v>
      </c>
      <c r="G47" s="3">
        <f t="shared" si="5"/>
        <v>75.36000515</v>
      </c>
      <c r="H47" s="7">
        <f t="shared" si="6"/>
        <v>43.50911926</v>
      </c>
      <c r="K47" s="10">
        <v>-67.5547332763672</v>
      </c>
      <c r="L47" s="10">
        <v>142.573867797852</v>
      </c>
    </row>
    <row r="48">
      <c r="A48" s="3"/>
      <c r="C48" s="2" t="s">
        <v>20</v>
      </c>
      <c r="D48" s="3">
        <f t="shared" si="4"/>
        <v>96.49639241</v>
      </c>
      <c r="F48" s="3">
        <v>19.3926183182707</v>
      </c>
      <c r="G48" s="3">
        <f t="shared" si="5"/>
        <v>94.50378281</v>
      </c>
      <c r="H48" s="7">
        <f t="shared" si="6"/>
        <v>54.56178445</v>
      </c>
      <c r="K48" s="10">
        <v>-69.4893951416016</v>
      </c>
      <c r="L48" s="10">
        <v>132.16716003418</v>
      </c>
    </row>
    <row r="49">
      <c r="A49" s="3"/>
      <c r="C49" s="2" t="s">
        <v>7</v>
      </c>
      <c r="D49" s="3">
        <f t="shared" si="4"/>
        <v>57.80095211</v>
      </c>
      <c r="F49" s="3">
        <v>26.9594120498631</v>
      </c>
      <c r="G49" s="3">
        <f t="shared" si="5"/>
        <v>37.1043295</v>
      </c>
      <c r="H49" s="7">
        <f t="shared" si="6"/>
        <v>21.42219462</v>
      </c>
      <c r="K49" s="10">
        <v>-61.8368911743164</v>
      </c>
      <c r="L49" s="10">
        <v>146.617156982422</v>
      </c>
    </row>
    <row r="50">
      <c r="A50" s="3"/>
      <c r="C50" s="2" t="s">
        <v>8</v>
      </c>
      <c r="D50" s="3">
        <f t="shared" si="4"/>
        <v>57.21784629</v>
      </c>
      <c r="F50" s="3">
        <v>13.85419752987</v>
      </c>
      <c r="G50" s="3">
        <f t="shared" si="5"/>
        <v>64.32342548</v>
      </c>
      <c r="H50" s="7">
        <f t="shared" si="6"/>
        <v>37.13714701</v>
      </c>
      <c r="K50" s="10">
        <v>-61.9593124389648</v>
      </c>
      <c r="L50" s="10">
        <v>139.912231445313</v>
      </c>
    </row>
    <row r="51">
      <c r="A51" s="3"/>
      <c r="C51" s="2" t="s">
        <v>20</v>
      </c>
      <c r="D51" s="3">
        <f t="shared" si="4"/>
        <v>11.72720526</v>
      </c>
      <c r="F51" s="3">
        <v>14.5506086853734</v>
      </c>
      <c r="G51" s="3">
        <f t="shared" si="5"/>
        <v>7.348612913</v>
      </c>
      <c r="H51" s="7">
        <f t="shared" si="6"/>
        <v>4.242723644</v>
      </c>
      <c r="K51" s="10">
        <v>-61.9515571594238</v>
      </c>
      <c r="L51" s="10">
        <v>144.887329101563</v>
      </c>
    </row>
    <row r="52">
      <c r="A52" s="3"/>
      <c r="C52" s="2" t="s">
        <v>7</v>
      </c>
      <c r="D52" s="3">
        <f t="shared" si="4"/>
        <v>31.46838697</v>
      </c>
      <c r="F52" s="3">
        <v>29.5236445901694</v>
      </c>
      <c r="G52" s="3">
        <f t="shared" si="5"/>
        <v>11.80654152</v>
      </c>
      <c r="H52" s="7">
        <f t="shared" si="6"/>
        <v>6.816509923</v>
      </c>
      <c r="K52" s="10">
        <v>-64.9512329101563</v>
      </c>
      <c r="L52" s="10">
        <v>145.52587890625</v>
      </c>
    </row>
    <row r="53">
      <c r="A53" s="3"/>
      <c r="C53" s="2" t="s">
        <v>8</v>
      </c>
      <c r="D53" s="3">
        <f t="shared" si="4"/>
        <v>17.61221666</v>
      </c>
      <c r="F53" s="3">
        <v>13.6523538402022</v>
      </c>
      <c r="G53" s="3">
        <f t="shared" si="5"/>
        <v>6.954640247</v>
      </c>
      <c r="H53" s="7">
        <f t="shared" si="6"/>
        <v>4.015263419</v>
      </c>
    </row>
    <row r="54">
      <c r="A54" s="3"/>
      <c r="C54" s="2" t="s">
        <v>20</v>
      </c>
      <c r="D54" s="3">
        <f t="shared" si="4"/>
        <v>12.48613207</v>
      </c>
      <c r="F54" s="3">
        <v>8.08485562416847</v>
      </c>
      <c r="G54" s="3">
        <f t="shared" si="5"/>
        <v>8.735704704</v>
      </c>
      <c r="H54" s="7">
        <f t="shared" si="6"/>
        <v>5.043561462</v>
      </c>
    </row>
    <row r="55">
      <c r="A55" s="3"/>
      <c r="C55" s="2" t="s">
        <v>7</v>
      </c>
      <c r="D55" s="3">
        <f t="shared" si="4"/>
        <v>29.88202932</v>
      </c>
      <c r="F55" s="3">
        <v>29.3415198952633</v>
      </c>
      <c r="G55" s="3">
        <f t="shared" si="5"/>
        <v>1.791181</v>
      </c>
      <c r="H55" s="7">
        <f t="shared" si="6"/>
        <v>1.034138832</v>
      </c>
    </row>
    <row r="56">
      <c r="A56" s="3"/>
      <c r="C56" s="2" t="s">
        <v>8</v>
      </c>
      <c r="D56" s="3">
        <f t="shared" si="4"/>
        <v>19.58969525</v>
      </c>
      <c r="F56" s="3">
        <v>28.5725853036573</v>
      </c>
      <c r="G56" s="3">
        <f t="shared" si="5"/>
        <v>9.326874016</v>
      </c>
      <c r="H56" s="7">
        <f t="shared" si="6"/>
        <v>5.384873224</v>
      </c>
      <c r="J56" s="8" t="s">
        <v>23</v>
      </c>
      <c r="K56" s="9">
        <f t="shared" ref="K56:L56" si="7">AVERAGE(K44:K52)</f>
        <v>-64.3207461</v>
      </c>
      <c r="L56" s="9">
        <f t="shared" si="7"/>
        <v>143.0894691</v>
      </c>
    </row>
    <row r="57">
      <c r="A57" s="3"/>
      <c r="C57" s="2" t="s">
        <v>21</v>
      </c>
      <c r="D57" s="3">
        <f t="shared" si="4"/>
        <v>23.06100466</v>
      </c>
      <c r="F57" s="3">
        <v>23.5197007651978</v>
      </c>
      <c r="G57" s="3">
        <f t="shared" si="5"/>
        <v>7.366721603</v>
      </c>
      <c r="H57" s="7">
        <f t="shared" si="6"/>
        <v>4.253178701</v>
      </c>
      <c r="J57" s="8" t="s">
        <v>24</v>
      </c>
      <c r="K57" s="9">
        <f t="shared" ref="K57:L57" si="8">STDEV(K44:K52)</f>
        <v>3.118255841</v>
      </c>
      <c r="L57" s="9">
        <f t="shared" si="8"/>
        <v>4.913072637</v>
      </c>
    </row>
    <row r="58">
      <c r="A58" s="3"/>
      <c r="C58" s="2" t="s">
        <v>7</v>
      </c>
      <c r="D58" s="3">
        <f t="shared" si="4"/>
        <v>47.85920238</v>
      </c>
      <c r="F58" s="3">
        <v>37.2134884914141</v>
      </c>
      <c r="G58" s="3">
        <f t="shared" si="5"/>
        <v>4.992935901</v>
      </c>
      <c r="H58" s="7">
        <f t="shared" si="6"/>
        <v>2.882672887</v>
      </c>
    </row>
    <row r="59">
      <c r="A59" s="3"/>
      <c r="C59" s="2" t="s">
        <v>8</v>
      </c>
      <c r="D59" s="3">
        <f t="shared" si="4"/>
        <v>16.81133175</v>
      </c>
      <c r="F59" s="3">
        <v>11.9191067816356</v>
      </c>
      <c r="G59" s="3">
        <f t="shared" si="5"/>
        <v>2.253949686</v>
      </c>
      <c r="H59" s="7">
        <f t="shared" si="6"/>
        <v>1.301318458</v>
      </c>
    </row>
    <row r="60">
      <c r="A60" s="3"/>
      <c r="C60" s="2" t="s">
        <v>21</v>
      </c>
      <c r="D60" s="3">
        <f t="shared" si="4"/>
        <v>23.19064024</v>
      </c>
      <c r="F60" s="3">
        <v>20.3649551665633</v>
      </c>
      <c r="G60" s="3">
        <f t="shared" si="5"/>
        <v>7.480188777</v>
      </c>
      <c r="H60" s="7">
        <f t="shared" si="6"/>
        <v>4.318689004</v>
      </c>
    </row>
    <row r="61">
      <c r="A61" s="3"/>
      <c r="C61" s="2" t="s">
        <v>7</v>
      </c>
      <c r="D61" s="3">
        <f t="shared" si="4"/>
        <v>37.01685207</v>
      </c>
      <c r="F61" s="3">
        <v>40.0484967013321</v>
      </c>
      <c r="G61" s="3">
        <f t="shared" si="5"/>
        <v>4.303621807</v>
      </c>
      <c r="H61" s="7">
        <f t="shared" si="6"/>
        <v>2.484697209</v>
      </c>
    </row>
    <row r="62">
      <c r="A62" s="3"/>
      <c r="C62" s="2" t="s">
        <v>8</v>
      </c>
      <c r="D62" s="3">
        <f t="shared" si="4"/>
        <v>23.79448405</v>
      </c>
      <c r="F62" s="3">
        <v>16.7315769858946</v>
      </c>
      <c r="G62" s="3">
        <f t="shared" si="5"/>
        <v>12.35985147</v>
      </c>
      <c r="H62" s="7">
        <f t="shared" si="6"/>
        <v>7.135963572</v>
      </c>
    </row>
    <row r="63">
      <c r="A63" s="3"/>
      <c r="C63" s="2" t="s">
        <v>21</v>
      </c>
      <c r="D63" s="3">
        <f t="shared" si="4"/>
        <v>24.81437702</v>
      </c>
      <c r="F63" s="3">
        <v>20.2258515382697</v>
      </c>
      <c r="G63" s="3">
        <f t="shared" si="5"/>
        <v>10.38292699</v>
      </c>
      <c r="H63" s="7">
        <f t="shared" si="6"/>
        <v>5.994585695</v>
      </c>
    </row>
    <row r="64">
      <c r="A64" s="3"/>
      <c r="C64" s="2" t="s">
        <v>7</v>
      </c>
      <c r="D64" s="3">
        <f t="shared" si="4"/>
        <v>26.63938907</v>
      </c>
      <c r="F64" s="3">
        <v>44.224801317219</v>
      </c>
      <c r="G64" s="3">
        <f t="shared" si="5"/>
        <v>16.14622124</v>
      </c>
      <c r="H64" s="7">
        <f t="shared" si="6"/>
        <v>9.322025181</v>
      </c>
    </row>
    <row r="65">
      <c r="A65" s="3"/>
      <c r="C65" s="2" t="s">
        <v>8</v>
      </c>
      <c r="D65" s="3">
        <f t="shared" si="4"/>
        <v>22.19321569</v>
      </c>
      <c r="F65" s="3">
        <v>27.831895011319</v>
      </c>
      <c r="G65" s="3">
        <f t="shared" si="5"/>
        <v>5.394597464</v>
      </c>
      <c r="H65" s="7">
        <f t="shared" si="6"/>
        <v>3.114572298</v>
      </c>
    </row>
    <row r="66">
      <c r="A66" s="3"/>
      <c r="C66" s="2" t="s">
        <v>21</v>
      </c>
      <c r="D66" s="3">
        <f t="shared" si="4"/>
        <v>23.92939031</v>
      </c>
      <c r="F66" s="3">
        <v>19.3644280431731</v>
      </c>
      <c r="G66" s="3">
        <f t="shared" si="5"/>
        <v>2.433204443</v>
      </c>
      <c r="H66" s="7">
        <f t="shared" si="6"/>
        <v>1.40481124</v>
      </c>
    </row>
    <row r="67">
      <c r="A67" s="3"/>
      <c r="C67" s="2" t="s">
        <v>7</v>
      </c>
      <c r="D67" s="3">
        <f t="shared" si="4"/>
        <v>23.12386796</v>
      </c>
      <c r="F67" s="3">
        <v>28.0442308969247</v>
      </c>
      <c r="G67" s="3">
        <f t="shared" si="5"/>
        <v>7.788918076</v>
      </c>
      <c r="H67" s="7">
        <f t="shared" si="6"/>
        <v>4.496933948</v>
      </c>
    </row>
    <row r="68">
      <c r="A68" s="3"/>
      <c r="C68" s="2" t="s">
        <v>15</v>
      </c>
      <c r="D68" s="3">
        <f t="shared" si="4"/>
        <v>4.552616951</v>
      </c>
      <c r="F68" s="3">
        <v>6.61335906879207</v>
      </c>
      <c r="G68" s="3">
        <f t="shared" si="5"/>
        <v>1.710095529</v>
      </c>
      <c r="H68" s="7">
        <f t="shared" si="6"/>
        <v>0.9873241139</v>
      </c>
    </row>
    <row r="69">
      <c r="A69" s="3"/>
      <c r="C69" s="2" t="s">
        <v>21</v>
      </c>
      <c r="D69" s="3">
        <f t="shared" si="4"/>
        <v>16.27071121</v>
      </c>
      <c r="F69" s="3">
        <v>21.3159853587223</v>
      </c>
      <c r="G69" s="3">
        <f t="shared" si="5"/>
        <v>5.032179155</v>
      </c>
      <c r="H69" s="7">
        <f t="shared" si="6"/>
        <v>2.90532999</v>
      </c>
    </row>
    <row r="70">
      <c r="A70" s="3"/>
      <c r="C70" s="2" t="s">
        <v>7</v>
      </c>
      <c r="D70" s="3">
        <f t="shared" si="4"/>
        <v>36.28582222</v>
      </c>
      <c r="F70" s="3">
        <v>38.9588444997717</v>
      </c>
      <c r="G70" s="3">
        <f t="shared" si="5"/>
        <v>15.25196396</v>
      </c>
      <c r="H70" s="7">
        <f t="shared" si="6"/>
        <v>8.8057255</v>
      </c>
    </row>
    <row r="71">
      <c r="A71" s="3"/>
      <c r="C71" s="2" t="s">
        <v>15</v>
      </c>
      <c r="D71" s="3">
        <f t="shared" si="4"/>
        <v>8.725326132</v>
      </c>
      <c r="F71" s="3">
        <v>8.94112399638795</v>
      </c>
      <c r="G71" s="3">
        <f t="shared" si="5"/>
        <v>6.345666203</v>
      </c>
      <c r="H71" s="7">
        <f t="shared" si="6"/>
        <v>3.66367209</v>
      </c>
    </row>
    <row r="72">
      <c r="A72" s="3"/>
      <c r="C72" s="2" t="s">
        <v>21</v>
      </c>
      <c r="D72" s="3">
        <f t="shared" si="4"/>
        <v>20.08567616</v>
      </c>
      <c r="F72" s="3">
        <v>19.9920196254413</v>
      </c>
      <c r="G72" s="3">
        <f t="shared" si="5"/>
        <v>2.651981153</v>
      </c>
      <c r="H72" s="7">
        <f t="shared" si="6"/>
        <v>1.531122032</v>
      </c>
    </row>
    <row r="73">
      <c r="A73" s="3"/>
      <c r="C73" s="2" t="s">
        <v>7</v>
      </c>
      <c r="D73" s="3">
        <f t="shared" si="4"/>
        <v>30.15948018</v>
      </c>
      <c r="F73" s="3">
        <v>51.7827994777754</v>
      </c>
      <c r="G73" s="3">
        <f t="shared" si="5"/>
        <v>9.199394824</v>
      </c>
      <c r="H73" s="7">
        <f t="shared" si="6"/>
        <v>5.311273078</v>
      </c>
    </row>
    <row r="74">
      <c r="A74" s="3"/>
      <c r="C74" s="2" t="s">
        <v>15</v>
      </c>
      <c r="D74" s="3">
        <f t="shared" si="4"/>
        <v>19.63251072</v>
      </c>
      <c r="F74" s="3">
        <v>59.3300387748468</v>
      </c>
      <c r="G74" s="3">
        <f t="shared" si="5"/>
        <v>2.593980709</v>
      </c>
      <c r="H74" s="7">
        <f t="shared" si="6"/>
        <v>1.49763546</v>
      </c>
    </row>
    <row r="75">
      <c r="A75" s="3"/>
      <c r="C75" s="2" t="s">
        <v>21</v>
      </c>
      <c r="D75" s="3">
        <f t="shared" si="4"/>
        <v>25.65056243</v>
      </c>
      <c r="F75" s="3">
        <v>22.9014463636111</v>
      </c>
      <c r="G75" s="3">
        <f t="shared" si="5"/>
        <v>4.19299759</v>
      </c>
      <c r="H75" s="7">
        <f t="shared" si="6"/>
        <v>2.420828287</v>
      </c>
    </row>
    <row r="76">
      <c r="A76" s="3"/>
      <c r="C76" s="2" t="s">
        <v>7</v>
      </c>
      <c r="D76" s="3">
        <f t="shared" si="4"/>
        <v>20.58567357</v>
      </c>
      <c r="F76" s="3">
        <v>34.0287181021842</v>
      </c>
      <c r="G76" s="3">
        <f t="shared" si="5"/>
        <v>3.963117263</v>
      </c>
      <c r="H76" s="7">
        <f t="shared" si="6"/>
        <v>2.288106819</v>
      </c>
    </row>
    <row r="77">
      <c r="A77" s="3"/>
      <c r="C77" s="2" t="s">
        <v>15</v>
      </c>
      <c r="D77" s="3">
        <f t="shared" si="4"/>
        <v>11.135982</v>
      </c>
      <c r="F77" s="3">
        <v>26.679687426085</v>
      </c>
      <c r="G77" s="3">
        <f t="shared" si="5"/>
        <v>8.414982177</v>
      </c>
      <c r="H77" s="7">
        <f t="shared" si="6"/>
        <v>4.858392225</v>
      </c>
    </row>
    <row r="78">
      <c r="A78" s="3"/>
      <c r="C78" s="2" t="s">
        <v>21</v>
      </c>
      <c r="D78" s="3">
        <f t="shared" si="4"/>
        <v>21.90727018</v>
      </c>
      <c r="F78" s="3">
        <v>15.0779795444002</v>
      </c>
      <c r="G78" s="3">
        <f t="shared" si="5"/>
        <v>3.685174675</v>
      </c>
      <c r="H78" s="7">
        <f t="shared" si="6"/>
        <v>2.127636591</v>
      </c>
    </row>
    <row r="79">
      <c r="A79" s="3"/>
      <c r="C79" s="2" t="s">
        <v>7</v>
      </c>
      <c r="D79" s="3">
        <f t="shared" si="4"/>
        <v>161.5308564</v>
      </c>
      <c r="F79" s="3">
        <v>142.553857431584</v>
      </c>
      <c r="G79" s="3">
        <f t="shared" si="5"/>
        <v>19.09517019</v>
      </c>
      <c r="H79" s="7">
        <f t="shared" si="6"/>
        <v>11.02460165</v>
      </c>
    </row>
    <row r="81">
      <c r="C81" s="8" t="s">
        <v>25</v>
      </c>
      <c r="D81" s="8" t="s">
        <v>26</v>
      </c>
      <c r="E81" s="8" t="s">
        <v>27</v>
      </c>
      <c r="G81" s="8" t="s">
        <v>28</v>
      </c>
      <c r="H81" s="8" t="s">
        <v>29</v>
      </c>
    </row>
    <row r="82">
      <c r="A82" s="7"/>
      <c r="C82" s="8">
        <v>0.0</v>
      </c>
      <c r="D82" s="10">
        <v>0.0</v>
      </c>
      <c r="E82" s="7">
        <f>D82/D103</f>
        <v>0</v>
      </c>
      <c r="G82" s="7">
        <f>SUMPRODUCT(C82:C102, E82:E102) / SUM(E82:E102)</f>
        <v>47.10526316</v>
      </c>
      <c r="H82" s="20">
        <f>SQRT(SUMPRODUCT(D82:D102, (C82:C102 - SUMPRODUCT(D82:D102, C82:C102) / SUM(D82:D102))^2) / (SUM(D82:D102) - 1))
</f>
        <v>41.97218479</v>
      </c>
    </row>
    <row r="83">
      <c r="C83" s="8">
        <v>10.0</v>
      </c>
      <c r="D83" s="10">
        <v>2.0</v>
      </c>
      <c r="E83" s="7">
        <f>D83/D103</f>
        <v>0.05263157895</v>
      </c>
    </row>
    <row r="84">
      <c r="C84" s="8">
        <v>20.0</v>
      </c>
      <c r="D84" s="10">
        <v>9.0</v>
      </c>
      <c r="E84" s="7">
        <f>D84/D103</f>
        <v>0.2368421053</v>
      </c>
    </row>
    <row r="85">
      <c r="C85" s="8">
        <v>30.0</v>
      </c>
      <c r="D85" s="10">
        <v>13.0</v>
      </c>
      <c r="E85" s="7">
        <f>D85/D103</f>
        <v>0.3421052632</v>
      </c>
    </row>
    <row r="86">
      <c r="C86" s="8">
        <v>40.0</v>
      </c>
      <c r="D86" s="10">
        <v>4.0</v>
      </c>
      <c r="E86" s="7">
        <f>D86/D103</f>
        <v>0.1052631579</v>
      </c>
    </row>
    <row r="87">
      <c r="C87" s="8">
        <v>50.0</v>
      </c>
      <c r="D87" s="10">
        <v>1.0</v>
      </c>
      <c r="E87" s="7">
        <f>D87/D103</f>
        <v>0.02631578947</v>
      </c>
    </row>
    <row r="88">
      <c r="C88" s="8">
        <v>60.0</v>
      </c>
      <c r="D88" s="10">
        <v>2.0</v>
      </c>
      <c r="E88" s="7">
        <f>D88/D103</f>
        <v>0.05263157895</v>
      </c>
    </row>
    <row r="89">
      <c r="C89" s="8">
        <v>70.0</v>
      </c>
      <c r="D89" s="10">
        <v>0.0</v>
      </c>
      <c r="E89" s="7">
        <f>D89/D103</f>
        <v>0</v>
      </c>
    </row>
    <row r="90">
      <c r="C90" s="8">
        <v>80.0</v>
      </c>
      <c r="D90" s="10">
        <v>1.0</v>
      </c>
      <c r="E90" s="7">
        <f>D90/D103</f>
        <v>0.02631578947</v>
      </c>
    </row>
    <row r="91">
      <c r="C91" s="8">
        <v>90.0</v>
      </c>
      <c r="D91" s="10">
        <v>1.0</v>
      </c>
      <c r="E91" s="7">
        <f>D91/D103</f>
        <v>0.02631578947</v>
      </c>
    </row>
    <row r="92">
      <c r="C92" s="8">
        <v>100.0</v>
      </c>
      <c r="D92" s="10">
        <v>2.0</v>
      </c>
      <c r="E92" s="7">
        <f>D92/D103</f>
        <v>0.05263157895</v>
      </c>
    </row>
    <row r="93">
      <c r="C93" s="8">
        <v>110.0</v>
      </c>
      <c r="D93" s="10">
        <v>0.0</v>
      </c>
      <c r="E93" s="7">
        <f>D93/D103</f>
        <v>0</v>
      </c>
    </row>
    <row r="94">
      <c r="C94" s="8">
        <v>120.0</v>
      </c>
      <c r="D94" s="10">
        <v>0.0</v>
      </c>
      <c r="E94" s="7">
        <f>D94/D103</f>
        <v>0</v>
      </c>
    </row>
    <row r="95">
      <c r="C95" s="8">
        <v>130.0</v>
      </c>
      <c r="D95" s="10">
        <v>0.0</v>
      </c>
      <c r="E95" s="7">
        <f>D95/D103</f>
        <v>0</v>
      </c>
    </row>
    <row r="96">
      <c r="C96" s="8">
        <v>140.0</v>
      </c>
      <c r="D96" s="10">
        <v>0.0</v>
      </c>
      <c r="E96" s="7">
        <f>D96/D103</f>
        <v>0</v>
      </c>
    </row>
    <row r="97">
      <c r="C97" s="8">
        <v>150.0</v>
      </c>
      <c r="D97" s="10">
        <v>0.0</v>
      </c>
      <c r="E97" s="7">
        <f>D97/D103</f>
        <v>0</v>
      </c>
    </row>
    <row r="98">
      <c r="C98" s="8">
        <v>160.0</v>
      </c>
      <c r="D98" s="10">
        <v>1.0</v>
      </c>
      <c r="E98" s="7">
        <f>D98/D103</f>
        <v>0.02631578947</v>
      </c>
    </row>
    <row r="99">
      <c r="C99" s="8">
        <v>170.0</v>
      </c>
      <c r="D99" s="10">
        <v>2.0</v>
      </c>
      <c r="E99" s="7">
        <f>D99/D103</f>
        <v>0.05263157895</v>
      </c>
    </row>
    <row r="100">
      <c r="C100" s="8">
        <v>180.0</v>
      </c>
      <c r="D100" s="10">
        <v>0.0</v>
      </c>
      <c r="E100" s="7">
        <f>D100/D103</f>
        <v>0</v>
      </c>
    </row>
    <row r="101">
      <c r="C101" s="8">
        <v>190.0</v>
      </c>
      <c r="D101" s="10">
        <v>0.0</v>
      </c>
      <c r="E101" s="7">
        <f>D101/D103</f>
        <v>0</v>
      </c>
    </row>
    <row r="102">
      <c r="C102" s="8">
        <v>200.0</v>
      </c>
      <c r="D102" s="10">
        <v>0.0</v>
      </c>
      <c r="E102" s="7">
        <f>D102/D103</f>
        <v>0</v>
      </c>
    </row>
    <row r="103">
      <c r="D103" s="8">
        <f t="shared" ref="D103:E103" si="9">SUM(D82:D102)</f>
        <v>38</v>
      </c>
      <c r="E103" s="9">
        <f t="shared" si="9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1</v>
      </c>
      <c r="I1" s="1" t="s">
        <v>2</v>
      </c>
      <c r="J1" s="1" t="s">
        <v>3</v>
      </c>
      <c r="K1" s="1"/>
      <c r="L1" s="1" t="s">
        <v>5</v>
      </c>
      <c r="M1" s="1" t="s">
        <v>1</v>
      </c>
      <c r="N1" s="1" t="s">
        <v>2</v>
      </c>
      <c r="O1" s="1" t="s">
        <v>3</v>
      </c>
      <c r="P1" s="1" t="s">
        <v>6</v>
      </c>
      <c r="R1" s="1"/>
    </row>
    <row r="2">
      <c r="A2" s="2"/>
      <c r="B2" s="2" t="s">
        <v>19</v>
      </c>
      <c r="C2" s="13">
        <v>0.0</v>
      </c>
      <c r="D2" s="11">
        <f>-59.0957260131836+360</f>
        <v>300.904274</v>
      </c>
      <c r="E2" s="7">
        <f t="shared" ref="E2:E39" si="1">SQRT((P3 - C2)^2 + (Q3 - D2)^2)</f>
        <v>172.0164151</v>
      </c>
      <c r="G2" s="2" t="s">
        <v>19</v>
      </c>
      <c r="H2" s="13">
        <v>0.0</v>
      </c>
      <c r="I2" s="13">
        <v>135.107955932617</v>
      </c>
      <c r="J2" s="3">
        <f t="shared" ref="J2:J39" si="2">SQRT((P3 - H2)^2 + (Q3 - I2)^2)</f>
        <v>65.17038236</v>
      </c>
      <c r="L2" s="2" t="s">
        <v>19</v>
      </c>
      <c r="M2" s="13">
        <v>0.0</v>
      </c>
      <c r="N2" s="11">
        <f>-67.3722991943359+360</f>
        <v>292.6277008</v>
      </c>
      <c r="O2" s="3">
        <f t="shared" ref="O2:O39" si="3">SQRT((P3 - M2)^2 + (Q3 - N2)^2)</f>
        <v>164.3801209</v>
      </c>
      <c r="P2" s="1" t="s">
        <v>1</v>
      </c>
      <c r="Q2" s="1" t="s">
        <v>2</v>
      </c>
      <c r="R2" s="1"/>
    </row>
    <row r="3">
      <c r="A3" s="2"/>
      <c r="B3" s="2" t="s">
        <v>7</v>
      </c>
      <c r="C3" s="13">
        <v>-75.6256942749023</v>
      </c>
      <c r="D3" s="13">
        <v>171.178726196289</v>
      </c>
      <c r="E3" s="7">
        <f t="shared" si="1"/>
        <v>31.50017767</v>
      </c>
      <c r="G3" s="2" t="s">
        <v>7</v>
      </c>
      <c r="H3" s="13">
        <v>-110.938079833984</v>
      </c>
      <c r="I3" s="19">
        <v>0.441164076328278</v>
      </c>
      <c r="J3" s="3">
        <f t="shared" si="2"/>
        <v>148.4733338</v>
      </c>
      <c r="L3" s="2" t="s">
        <v>7</v>
      </c>
      <c r="M3" s="13">
        <v>-143.700592041016</v>
      </c>
      <c r="N3" s="19">
        <v>156.145553588867</v>
      </c>
      <c r="O3" s="3">
        <f t="shared" si="3"/>
        <v>80.18639252</v>
      </c>
      <c r="P3" s="18">
        <v>-64.84825758500534</v>
      </c>
      <c r="Q3" s="18">
        <v>141.57960371537646</v>
      </c>
    </row>
    <row r="4">
      <c r="A4" s="2"/>
      <c r="B4" s="2" t="s">
        <v>8</v>
      </c>
      <c r="C4" s="13">
        <v>-116.347038269043</v>
      </c>
      <c r="D4" s="13">
        <v>167.973251342773</v>
      </c>
      <c r="E4" s="7">
        <f t="shared" si="1"/>
        <v>57.86837692</v>
      </c>
      <c r="G4" s="2" t="s">
        <v>8</v>
      </c>
      <c r="H4" s="13">
        <v>-93.5693969726563</v>
      </c>
      <c r="I4" s="13">
        <v>17.0395259857178</v>
      </c>
      <c r="J4" s="3">
        <f t="shared" si="2"/>
        <v>127.8089778</v>
      </c>
      <c r="L4" s="2" t="s">
        <v>8</v>
      </c>
      <c r="M4" s="13">
        <v>-96.579345703125</v>
      </c>
      <c r="N4" s="13">
        <v>179.491897583008</v>
      </c>
      <c r="O4" s="3">
        <f t="shared" si="3"/>
        <v>49.43889137</v>
      </c>
      <c r="P4" s="18">
        <v>-64.84825758500534</v>
      </c>
      <c r="Q4" s="18">
        <v>141.57960371537646</v>
      </c>
    </row>
    <row r="5">
      <c r="A5" s="2"/>
      <c r="B5" s="2" t="s">
        <v>20</v>
      </c>
      <c r="C5" s="13">
        <v>67.8649520874023</v>
      </c>
      <c r="D5" s="13">
        <v>41.3445129394531</v>
      </c>
      <c r="E5" s="7">
        <f t="shared" si="1"/>
        <v>166.3125655</v>
      </c>
      <c r="G5" s="2" t="s">
        <v>20</v>
      </c>
      <c r="H5" s="13">
        <v>-68.2507400512695</v>
      </c>
      <c r="I5" s="13">
        <v>174.102844238281</v>
      </c>
      <c r="J5" s="3">
        <f t="shared" si="2"/>
        <v>32.70073487</v>
      </c>
      <c r="K5" s="2"/>
      <c r="L5" s="2" t="s">
        <v>20</v>
      </c>
      <c r="M5" s="13">
        <v>-70.102180480957</v>
      </c>
      <c r="N5" s="13">
        <v>154.889358520508</v>
      </c>
      <c r="O5" s="3">
        <f t="shared" si="3"/>
        <v>14.30920259</v>
      </c>
      <c r="P5" s="18">
        <v>-64.84825758500534</v>
      </c>
      <c r="Q5" s="18">
        <v>141.57960371537646</v>
      </c>
    </row>
    <row r="6">
      <c r="A6" s="2"/>
      <c r="B6" s="2" t="s">
        <v>7</v>
      </c>
      <c r="C6" s="13">
        <v>60.4251556396484</v>
      </c>
      <c r="D6" s="17">
        <f>-167.638671875+360</f>
        <v>192.3613281</v>
      </c>
      <c r="E6" s="7">
        <f t="shared" si="1"/>
        <v>135.1747447</v>
      </c>
      <c r="G6" s="2" t="s">
        <v>7</v>
      </c>
      <c r="H6" s="13">
        <v>-139.280517578125</v>
      </c>
      <c r="I6" s="19">
        <v>171.80793762207</v>
      </c>
      <c r="J6" s="3">
        <f t="shared" si="2"/>
        <v>80.3362527</v>
      </c>
      <c r="K6" s="2"/>
      <c r="L6" s="2" t="s">
        <v>7</v>
      </c>
      <c r="M6" s="13">
        <v>50.7383003234863</v>
      </c>
      <c r="N6" s="17">
        <f>-154.760208129883+360</f>
        <v>205.2397919</v>
      </c>
      <c r="O6" s="3">
        <f t="shared" si="3"/>
        <v>131.9578415</v>
      </c>
      <c r="P6" s="18">
        <v>-64.84825758500534</v>
      </c>
      <c r="Q6" s="18">
        <v>141.57960371537646</v>
      </c>
    </row>
    <row r="7">
      <c r="A7" s="2"/>
      <c r="B7" s="2" t="s">
        <v>8</v>
      </c>
      <c r="C7" s="13">
        <v>-59.6297836303711</v>
      </c>
      <c r="D7" s="13">
        <v>147.06965637207</v>
      </c>
      <c r="E7" s="7">
        <f t="shared" si="1"/>
        <v>7.574506491</v>
      </c>
      <c r="G7" s="2" t="s">
        <v>8</v>
      </c>
      <c r="H7" s="13">
        <v>-84.5241851806641</v>
      </c>
      <c r="I7" s="13">
        <v>138.843307495117</v>
      </c>
      <c r="J7" s="3">
        <f t="shared" si="2"/>
        <v>19.86528237</v>
      </c>
      <c r="K7" s="2"/>
      <c r="L7" s="2" t="s">
        <v>8</v>
      </c>
      <c r="M7" s="13">
        <v>-37.782886505127</v>
      </c>
      <c r="N7" s="13">
        <v>163.820526123047</v>
      </c>
      <c r="O7" s="3">
        <f t="shared" si="3"/>
        <v>35.03131372</v>
      </c>
      <c r="P7" s="18">
        <v>-64.8482575850053</v>
      </c>
      <c r="Q7" s="18">
        <v>141.579603715376</v>
      </c>
    </row>
    <row r="8">
      <c r="A8" s="2"/>
      <c r="B8" s="2" t="s">
        <v>20</v>
      </c>
      <c r="C8" s="13">
        <v>-59.4394874572754</v>
      </c>
      <c r="D8" s="13">
        <v>147.568954467773</v>
      </c>
      <c r="E8" s="7">
        <f t="shared" si="1"/>
        <v>8.070137343</v>
      </c>
      <c r="G8" s="2" t="s">
        <v>20</v>
      </c>
      <c r="H8" s="13">
        <v>-150.130615234375</v>
      </c>
      <c r="I8" s="13">
        <v>169.980560302734</v>
      </c>
      <c r="J8" s="3">
        <f t="shared" si="2"/>
        <v>89.88712289</v>
      </c>
      <c r="K8" s="2"/>
      <c r="L8" s="2" t="s">
        <v>20</v>
      </c>
      <c r="M8" s="13">
        <v>-59.7706565856934</v>
      </c>
      <c r="N8" s="13">
        <v>150.788635253906</v>
      </c>
      <c r="O8" s="3">
        <f t="shared" si="3"/>
        <v>10.51609689</v>
      </c>
      <c r="P8" s="18">
        <v>-64.8482575850053</v>
      </c>
      <c r="Q8" s="18">
        <v>141.579603715376</v>
      </c>
    </row>
    <row r="9">
      <c r="A9" s="2"/>
      <c r="B9" s="2" t="s">
        <v>7</v>
      </c>
      <c r="C9" s="13">
        <v>-77.767951965332</v>
      </c>
      <c r="D9" s="11">
        <f>-176.346954345703+360</f>
        <v>183.6530457</v>
      </c>
      <c r="E9" s="7">
        <f t="shared" si="1"/>
        <v>44.01241892</v>
      </c>
      <c r="G9" s="2" t="s">
        <v>7</v>
      </c>
      <c r="H9" s="13">
        <v>-58.0694770812988</v>
      </c>
      <c r="I9" s="13">
        <v>153.378646850586</v>
      </c>
      <c r="J9" s="3">
        <f t="shared" si="2"/>
        <v>13.60769209</v>
      </c>
      <c r="K9" s="2"/>
      <c r="L9" s="2" t="s">
        <v>7</v>
      </c>
      <c r="M9" s="13">
        <v>-81.4903945922852</v>
      </c>
      <c r="N9" s="13">
        <v>175.524505615234</v>
      </c>
      <c r="O9" s="3">
        <f t="shared" si="3"/>
        <v>37.80498762</v>
      </c>
      <c r="P9" s="18">
        <v>-64.8482575850053</v>
      </c>
      <c r="Q9" s="18">
        <v>141.579603715376</v>
      </c>
    </row>
    <row r="10">
      <c r="A10" s="2"/>
      <c r="B10" s="2" t="s">
        <v>8</v>
      </c>
      <c r="C10" s="13">
        <v>-63.4582366943359</v>
      </c>
      <c r="D10" s="13">
        <v>152.056579589844</v>
      </c>
      <c r="E10" s="7">
        <f t="shared" si="1"/>
        <v>10.56878335</v>
      </c>
      <c r="G10" s="2" t="s">
        <v>8</v>
      </c>
      <c r="H10" s="13">
        <v>-49.682300567627</v>
      </c>
      <c r="I10" s="13">
        <v>145.039215087891</v>
      </c>
      <c r="J10" s="3">
        <f t="shared" si="2"/>
        <v>15.55555088</v>
      </c>
      <c r="K10" s="2"/>
      <c r="L10" s="2" t="s">
        <v>8</v>
      </c>
      <c r="M10" s="13">
        <v>-52.8042793273926</v>
      </c>
      <c r="N10" s="13">
        <v>167.9794921875</v>
      </c>
      <c r="O10" s="3">
        <f t="shared" si="3"/>
        <v>29.01743482</v>
      </c>
      <c r="P10" s="18">
        <v>-64.8482575850053</v>
      </c>
      <c r="Q10" s="18">
        <v>141.579603715376</v>
      </c>
    </row>
    <row r="11">
      <c r="A11" s="2"/>
      <c r="B11" s="2" t="s">
        <v>20</v>
      </c>
      <c r="C11" s="13">
        <v>-60.2330017089844</v>
      </c>
      <c r="D11" s="13">
        <v>140.039764404297</v>
      </c>
      <c r="E11" s="7">
        <f t="shared" si="1"/>
        <v>4.865356298</v>
      </c>
      <c r="G11" s="2" t="s">
        <v>20</v>
      </c>
      <c r="H11" s="13">
        <v>-46.7792854309082</v>
      </c>
      <c r="I11" s="13">
        <v>144.387252807617</v>
      </c>
      <c r="J11" s="3">
        <f t="shared" si="2"/>
        <v>18.28580455</v>
      </c>
      <c r="K11" s="2"/>
      <c r="L11" s="2" t="s">
        <v>20</v>
      </c>
      <c r="M11" s="13">
        <v>-62.1620025634766</v>
      </c>
      <c r="N11" s="13">
        <v>153.282470703125</v>
      </c>
      <c r="O11" s="3">
        <f t="shared" si="3"/>
        <v>12.00720874</v>
      </c>
      <c r="P11" s="18">
        <v>-64.8482575850053</v>
      </c>
      <c r="Q11" s="18">
        <v>141.579603715376</v>
      </c>
    </row>
    <row r="12">
      <c r="A12" s="2"/>
      <c r="B12" s="2" t="s">
        <v>7</v>
      </c>
      <c r="C12" s="13">
        <v>-59.078369140625</v>
      </c>
      <c r="D12" s="13">
        <v>176.60041809082</v>
      </c>
      <c r="E12" s="7">
        <f t="shared" si="1"/>
        <v>35.4929437</v>
      </c>
      <c r="G12" s="2" t="s">
        <v>7</v>
      </c>
      <c r="H12" s="13">
        <v>-47.6066932678223</v>
      </c>
      <c r="I12" s="13">
        <v>176.521469116211</v>
      </c>
      <c r="J12" s="3">
        <f t="shared" si="2"/>
        <v>38.96415658</v>
      </c>
      <c r="K12" s="2"/>
      <c r="L12" s="2" t="s">
        <v>7</v>
      </c>
      <c r="M12" s="13">
        <v>-61.6431083679199</v>
      </c>
      <c r="N12" s="13">
        <v>168.932952880859</v>
      </c>
      <c r="O12" s="3">
        <f t="shared" si="3"/>
        <v>27.54049186</v>
      </c>
      <c r="P12" s="18">
        <v>-64.8482575850053</v>
      </c>
      <c r="Q12" s="18">
        <v>141.579603715376</v>
      </c>
    </row>
    <row r="13">
      <c r="A13" s="2"/>
      <c r="B13" s="2" t="s">
        <v>8</v>
      </c>
      <c r="C13" s="13">
        <v>-93.5220718383789</v>
      </c>
      <c r="D13" s="13">
        <v>170.970184326172</v>
      </c>
      <c r="E13" s="7">
        <f t="shared" si="1"/>
        <v>41.06085548</v>
      </c>
      <c r="G13" s="2" t="s">
        <v>8</v>
      </c>
      <c r="H13" s="13">
        <v>-59.0513648986816</v>
      </c>
      <c r="I13" s="13">
        <v>151.474548339844</v>
      </c>
      <c r="J13" s="3">
        <f t="shared" si="2"/>
        <v>11.46795073</v>
      </c>
      <c r="K13" s="2"/>
      <c r="L13" s="2" t="s">
        <v>8</v>
      </c>
      <c r="M13" s="13">
        <v>-64.740478515625</v>
      </c>
      <c r="N13" s="13">
        <v>157.737701416016</v>
      </c>
      <c r="O13" s="3">
        <f t="shared" si="3"/>
        <v>16.15845716</v>
      </c>
      <c r="P13" s="18">
        <v>-64.8482575850053</v>
      </c>
      <c r="Q13" s="18">
        <v>141.579603715376</v>
      </c>
    </row>
    <row r="14">
      <c r="A14" s="2"/>
      <c r="B14" s="2" t="s">
        <v>20</v>
      </c>
      <c r="C14" s="13">
        <v>-56.8199272155762</v>
      </c>
      <c r="D14" s="13">
        <v>139.119781494141</v>
      </c>
      <c r="E14" s="7">
        <f t="shared" si="1"/>
        <v>8.396714469</v>
      </c>
      <c r="G14" s="2" t="s">
        <v>20</v>
      </c>
      <c r="H14" s="13">
        <v>-62.2293281555176</v>
      </c>
      <c r="I14" s="13">
        <v>146.088607788086</v>
      </c>
      <c r="J14" s="3">
        <f t="shared" si="2"/>
        <v>5.214394412</v>
      </c>
      <c r="K14" s="2"/>
      <c r="L14" s="2" t="s">
        <v>20</v>
      </c>
      <c r="M14" s="13">
        <v>-56.8200225830078</v>
      </c>
      <c r="N14" s="13">
        <v>147.978820800781</v>
      </c>
      <c r="O14" s="3">
        <f t="shared" si="3"/>
        <v>10.26657375</v>
      </c>
      <c r="P14" s="18">
        <v>-64.8482575850053</v>
      </c>
      <c r="Q14" s="18">
        <v>141.579603715376</v>
      </c>
    </row>
    <row r="15">
      <c r="A15" s="2"/>
      <c r="B15" s="2" t="s">
        <v>7</v>
      </c>
      <c r="C15" s="13">
        <v>-59.6175918579102</v>
      </c>
      <c r="D15" s="11">
        <f>-175.194854736328+360</f>
        <v>184.8051453</v>
      </c>
      <c r="E15" s="7">
        <f t="shared" si="1"/>
        <v>43.54086938</v>
      </c>
      <c r="G15" s="2" t="s">
        <v>7</v>
      </c>
      <c r="H15" s="13">
        <v>-50.0234298706055</v>
      </c>
      <c r="I15" s="13">
        <v>152.010864257813</v>
      </c>
      <c r="J15" s="3">
        <f t="shared" si="2"/>
        <v>18.12696095</v>
      </c>
      <c r="K15" s="2"/>
      <c r="L15" s="2" t="s">
        <v>7</v>
      </c>
      <c r="M15" s="13">
        <v>-79.9265975952148</v>
      </c>
      <c r="N15" s="13">
        <v>178.370986938477</v>
      </c>
      <c r="O15" s="3">
        <f t="shared" si="3"/>
        <v>39.76131558</v>
      </c>
      <c r="P15" s="18">
        <v>-64.8482575850053</v>
      </c>
      <c r="Q15" s="18">
        <v>141.579603715376</v>
      </c>
    </row>
    <row r="16">
      <c r="A16" s="2"/>
      <c r="B16" s="2" t="s">
        <v>8</v>
      </c>
      <c r="C16" s="13">
        <v>-58.8462944030762</v>
      </c>
      <c r="D16" s="13">
        <v>151.467010498047</v>
      </c>
      <c r="E16" s="7">
        <f t="shared" si="1"/>
        <v>11.56651957</v>
      </c>
      <c r="G16" s="2" t="s">
        <v>8</v>
      </c>
      <c r="H16" s="13">
        <v>-57.281608581543</v>
      </c>
      <c r="I16" s="13">
        <v>159.634582519531</v>
      </c>
      <c r="J16" s="3">
        <f t="shared" si="2"/>
        <v>19.57642554</v>
      </c>
      <c r="K16" s="2"/>
      <c r="L16" s="2" t="s">
        <v>8</v>
      </c>
      <c r="M16" s="13">
        <v>-70.7954177856445</v>
      </c>
      <c r="N16" s="13">
        <v>148.607849121094</v>
      </c>
      <c r="O16" s="3">
        <f t="shared" si="3"/>
        <v>9.206788144</v>
      </c>
      <c r="P16" s="18">
        <v>-64.8482575850053</v>
      </c>
      <c r="Q16" s="18">
        <v>141.579603715376</v>
      </c>
    </row>
    <row r="17">
      <c r="A17" s="2"/>
      <c r="B17" s="2" t="s">
        <v>21</v>
      </c>
      <c r="C17" s="13">
        <v>-50.2604141235352</v>
      </c>
      <c r="D17" s="13">
        <v>139.37712097168</v>
      </c>
      <c r="E17" s="7">
        <f t="shared" si="1"/>
        <v>14.75317278</v>
      </c>
      <c r="G17" s="2" t="s">
        <v>21</v>
      </c>
      <c r="H17" s="13">
        <v>-32.7252578735352</v>
      </c>
      <c r="I17" s="13">
        <v>135.724563598633</v>
      </c>
      <c r="J17" s="3">
        <f t="shared" si="2"/>
        <v>32.65223737</v>
      </c>
      <c r="K17" s="2"/>
      <c r="L17" s="2" t="s">
        <v>21</v>
      </c>
      <c r="M17" s="13">
        <v>-55.0950393676758</v>
      </c>
      <c r="N17" s="13">
        <v>142.469039916992</v>
      </c>
      <c r="O17" s="3">
        <f t="shared" si="3"/>
        <v>9.793689925</v>
      </c>
      <c r="P17" s="18">
        <v>-64.8482575850053</v>
      </c>
      <c r="Q17" s="18">
        <v>141.579603715376</v>
      </c>
    </row>
    <row r="18">
      <c r="A18" s="2"/>
      <c r="B18" s="2" t="s">
        <v>7</v>
      </c>
      <c r="C18" s="13">
        <v>-47.480583190918</v>
      </c>
      <c r="D18" s="13">
        <v>164.178344726563</v>
      </c>
      <c r="E18" s="7">
        <f t="shared" si="1"/>
        <v>28.50156503</v>
      </c>
      <c r="G18" s="2" t="s">
        <v>7</v>
      </c>
      <c r="H18" s="13">
        <v>-74.2625961303711</v>
      </c>
      <c r="I18" s="19">
        <v>178.98942565918</v>
      </c>
      <c r="J18" s="3">
        <f t="shared" si="2"/>
        <v>38.57621739</v>
      </c>
      <c r="K18" s="2"/>
      <c r="L18" s="2" t="s">
        <v>7</v>
      </c>
      <c r="M18" s="13">
        <v>-70.808464050293</v>
      </c>
      <c r="N18" s="13">
        <v>178.633895874023</v>
      </c>
      <c r="O18" s="3">
        <f t="shared" si="3"/>
        <v>37.53058258</v>
      </c>
      <c r="P18" s="18">
        <v>-64.8482575850053</v>
      </c>
      <c r="Q18" s="18">
        <v>141.579603715376</v>
      </c>
    </row>
    <row r="19">
      <c r="A19" s="2"/>
      <c r="B19" s="2" t="s">
        <v>8</v>
      </c>
      <c r="C19" s="13">
        <v>-60.9664001464844</v>
      </c>
      <c r="D19" s="13">
        <v>173.840789794922</v>
      </c>
      <c r="E19" s="7">
        <f t="shared" si="1"/>
        <v>32.49389088</v>
      </c>
      <c r="G19" s="2" t="s">
        <v>8</v>
      </c>
      <c r="H19" s="13">
        <v>-61.0003662109375</v>
      </c>
      <c r="I19" s="13">
        <v>162.444412231445</v>
      </c>
      <c r="J19" s="3">
        <f t="shared" si="2"/>
        <v>21.21665625</v>
      </c>
      <c r="K19" s="2"/>
      <c r="L19" s="2" t="s">
        <v>8</v>
      </c>
      <c r="M19" s="13">
        <v>-39.0682754516602</v>
      </c>
      <c r="N19" s="13">
        <v>132.63020324707</v>
      </c>
      <c r="O19" s="3">
        <f t="shared" si="3"/>
        <v>27.28917821</v>
      </c>
      <c r="P19" s="18">
        <v>-64.8482575850053</v>
      </c>
      <c r="Q19" s="18">
        <v>141.579603715376</v>
      </c>
    </row>
    <row r="20">
      <c r="A20" s="2"/>
      <c r="B20" s="2" t="s">
        <v>21</v>
      </c>
      <c r="C20" s="13">
        <v>-47.1572036743164</v>
      </c>
      <c r="D20" s="13">
        <v>151.342666625977</v>
      </c>
      <c r="E20" s="7">
        <f t="shared" si="1"/>
        <v>20.20620662</v>
      </c>
      <c r="G20" s="2" t="s">
        <v>21</v>
      </c>
      <c r="H20" s="13">
        <v>-65.7890014648438</v>
      </c>
      <c r="I20" s="13">
        <v>133.127395629883</v>
      </c>
      <c r="J20" s="3">
        <f t="shared" si="2"/>
        <v>8.504400071</v>
      </c>
      <c r="K20" s="2"/>
      <c r="L20" s="2" t="s">
        <v>21</v>
      </c>
      <c r="M20" s="13">
        <v>-54.4050750732422</v>
      </c>
      <c r="N20" s="13">
        <v>135.066787719727</v>
      </c>
      <c r="O20" s="3">
        <f t="shared" si="3"/>
        <v>12.3075925</v>
      </c>
      <c r="P20" s="18">
        <v>-64.8482575850053</v>
      </c>
      <c r="Q20" s="18">
        <v>141.579603715376</v>
      </c>
    </row>
    <row r="21">
      <c r="A21" s="2"/>
      <c r="B21" s="2" t="s">
        <v>7</v>
      </c>
      <c r="C21" s="13">
        <v>-77.3181991577148</v>
      </c>
      <c r="D21" s="19">
        <v>168.89533996582</v>
      </c>
      <c r="E21" s="7">
        <f t="shared" si="1"/>
        <v>30.02746892</v>
      </c>
      <c r="G21" s="2" t="s">
        <v>7</v>
      </c>
      <c r="H21" s="13">
        <v>-65.279541015625</v>
      </c>
      <c r="I21" s="17">
        <f>-170.445220947266+360</f>
        <v>189.5547791</v>
      </c>
      <c r="J21" s="3">
        <f t="shared" si="2"/>
        <v>47.97711386</v>
      </c>
      <c r="K21" s="2"/>
      <c r="L21" s="2" t="s">
        <v>7</v>
      </c>
      <c r="M21" s="13">
        <v>-75.5274810791016</v>
      </c>
      <c r="N21" s="17">
        <f>-174.20783996582+360</f>
        <v>185.79216</v>
      </c>
      <c r="O21" s="3">
        <f t="shared" si="3"/>
        <v>45.48401863</v>
      </c>
      <c r="P21" s="18">
        <v>-64.8482575850053</v>
      </c>
      <c r="Q21" s="18">
        <v>141.579603715376</v>
      </c>
    </row>
    <row r="22">
      <c r="A22" s="2"/>
      <c r="B22" s="2" t="s">
        <v>8</v>
      </c>
      <c r="C22" s="13">
        <v>-59.8956718444824</v>
      </c>
      <c r="D22" s="13">
        <v>148.065322875977</v>
      </c>
      <c r="E22" s="7">
        <f t="shared" si="1"/>
        <v>8.160432498</v>
      </c>
      <c r="G22" s="2" t="s">
        <v>8</v>
      </c>
      <c r="H22" s="13">
        <v>-81.5892486572266</v>
      </c>
      <c r="I22" s="13">
        <v>159.853286743164</v>
      </c>
      <c r="J22" s="3">
        <f t="shared" si="2"/>
        <v>24.78282215</v>
      </c>
      <c r="K22" s="2"/>
      <c r="L22" s="2" t="s">
        <v>8</v>
      </c>
      <c r="M22" s="13">
        <v>-61.3854370117187</v>
      </c>
      <c r="N22" s="13">
        <v>161.765243530273</v>
      </c>
      <c r="O22" s="3">
        <f t="shared" si="3"/>
        <v>20.48050734</v>
      </c>
      <c r="P22" s="18">
        <v>-64.8482575850053</v>
      </c>
      <c r="Q22" s="18">
        <v>141.579603715376</v>
      </c>
    </row>
    <row r="23">
      <c r="A23" s="2"/>
      <c r="B23" s="2" t="s">
        <v>21</v>
      </c>
      <c r="C23" s="13">
        <v>-42.8741188049316</v>
      </c>
      <c r="D23" s="13">
        <v>138.845642089844</v>
      </c>
      <c r="E23" s="7">
        <f t="shared" si="1"/>
        <v>22.14356162</v>
      </c>
      <c r="G23" s="2" t="s">
        <v>21</v>
      </c>
      <c r="H23" s="13">
        <v>-51.4617538452148</v>
      </c>
      <c r="I23" s="13">
        <v>151.819091796875</v>
      </c>
      <c r="J23" s="3">
        <f t="shared" si="2"/>
        <v>16.85365238</v>
      </c>
      <c r="K23" s="2"/>
      <c r="L23" s="2" t="s">
        <v>21</v>
      </c>
      <c r="M23" s="13">
        <v>-49.8489456176758</v>
      </c>
      <c r="N23" s="13">
        <v>151.023696899414</v>
      </c>
      <c r="O23" s="3">
        <f t="shared" si="3"/>
        <v>17.72484853</v>
      </c>
      <c r="P23" s="18">
        <v>-64.8482575850053</v>
      </c>
      <c r="Q23" s="18">
        <v>141.579603715376</v>
      </c>
    </row>
    <row r="24">
      <c r="A24" s="2"/>
      <c r="B24" s="2" t="s">
        <v>7</v>
      </c>
      <c r="C24" s="13">
        <v>-57.2728233337402</v>
      </c>
      <c r="D24" s="19">
        <v>171.391448974609</v>
      </c>
      <c r="E24" s="7">
        <f t="shared" si="1"/>
        <v>30.75928026</v>
      </c>
      <c r="G24" s="2" t="s">
        <v>7</v>
      </c>
      <c r="H24" s="13">
        <v>-71.5354537963867</v>
      </c>
      <c r="I24" s="17">
        <f>-159.310302734375+360</f>
        <v>200.6896973</v>
      </c>
      <c r="J24" s="3">
        <f t="shared" si="2"/>
        <v>59.4871562</v>
      </c>
      <c r="K24" s="2"/>
      <c r="L24" s="2" t="s">
        <v>7</v>
      </c>
      <c r="M24" s="13">
        <v>-70.2313461303711</v>
      </c>
      <c r="N24" s="13">
        <v>173.866409301758</v>
      </c>
      <c r="O24" s="3">
        <f t="shared" si="3"/>
        <v>32.73248321</v>
      </c>
      <c r="P24" s="18">
        <v>-64.8482575850053</v>
      </c>
      <c r="Q24" s="18">
        <v>141.579603715376</v>
      </c>
    </row>
    <row r="25">
      <c r="A25" s="2"/>
      <c r="B25" s="2" t="s">
        <v>8</v>
      </c>
      <c r="C25" s="13">
        <v>-45.1083488464356</v>
      </c>
      <c r="D25" s="13">
        <v>120.732376098633</v>
      </c>
      <c r="E25" s="7">
        <f t="shared" si="1"/>
        <v>28.71011836</v>
      </c>
      <c r="G25" s="2" t="s">
        <v>8</v>
      </c>
      <c r="H25" s="13">
        <v>-67.6352005004883</v>
      </c>
      <c r="I25" s="13">
        <v>145.502502441406</v>
      </c>
      <c r="J25" s="3">
        <f t="shared" si="2"/>
        <v>4.812087409</v>
      </c>
      <c r="K25" s="2"/>
      <c r="L25" s="2" t="s">
        <v>8</v>
      </c>
      <c r="M25" s="13">
        <v>-52.4482841491699</v>
      </c>
      <c r="N25" s="13">
        <v>141.091766357422</v>
      </c>
      <c r="O25" s="3">
        <f t="shared" si="3"/>
        <v>12.40956593</v>
      </c>
      <c r="P25" s="18">
        <v>-64.8482575850053</v>
      </c>
      <c r="Q25" s="18">
        <v>141.579603715376</v>
      </c>
    </row>
    <row r="26">
      <c r="A26" s="2"/>
      <c r="B26" s="2" t="s">
        <v>21</v>
      </c>
      <c r="C26" s="13">
        <v>-51.868034362793</v>
      </c>
      <c r="D26" s="13">
        <v>148.224868774414</v>
      </c>
      <c r="E26" s="7">
        <f t="shared" si="1"/>
        <v>14.58237781</v>
      </c>
      <c r="G26" s="2" t="s">
        <v>21</v>
      </c>
      <c r="H26" s="13">
        <v>-48.128849029541</v>
      </c>
      <c r="I26" s="13">
        <v>130.904861450195</v>
      </c>
      <c r="J26" s="3">
        <f t="shared" si="2"/>
        <v>19.83655073</v>
      </c>
      <c r="K26" s="2"/>
      <c r="L26" s="2" t="s">
        <v>21</v>
      </c>
      <c r="M26" s="13">
        <v>-46.9077796936035</v>
      </c>
      <c r="N26" s="13">
        <v>148.957305908203</v>
      </c>
      <c r="O26" s="3">
        <f t="shared" si="3"/>
        <v>19.39822767</v>
      </c>
      <c r="P26" s="18">
        <v>-64.8482575850053</v>
      </c>
      <c r="Q26" s="18">
        <v>141.579603715376</v>
      </c>
    </row>
    <row r="27">
      <c r="A27" s="2"/>
      <c r="B27" s="2" t="s">
        <v>7</v>
      </c>
      <c r="C27" s="13">
        <v>-72.8137588500977</v>
      </c>
      <c r="D27" s="11">
        <f>-174.457901000977+360</f>
        <v>185.542099</v>
      </c>
      <c r="E27" s="7">
        <f t="shared" si="1"/>
        <v>44.67829677</v>
      </c>
      <c r="G27" s="2" t="s">
        <v>7</v>
      </c>
      <c r="H27" s="13">
        <v>-54.3919067382813</v>
      </c>
      <c r="I27" s="19">
        <v>171.588226318359</v>
      </c>
      <c r="J27" s="3">
        <f t="shared" si="2"/>
        <v>31.77817968</v>
      </c>
      <c r="K27" s="2"/>
      <c r="L27" s="2" t="s">
        <v>7</v>
      </c>
      <c r="M27" s="13">
        <v>-59.3527603149414</v>
      </c>
      <c r="N27" s="13">
        <v>160.249359130859</v>
      </c>
      <c r="O27" s="3">
        <f t="shared" si="3"/>
        <v>19.46176399</v>
      </c>
      <c r="P27" s="18">
        <v>-64.8482575850053</v>
      </c>
      <c r="Q27" s="18">
        <v>141.579603715376</v>
      </c>
    </row>
    <row r="28">
      <c r="A28" s="2"/>
      <c r="B28" s="2" t="s">
        <v>15</v>
      </c>
      <c r="C28" s="13">
        <v>-60.8695335388184</v>
      </c>
      <c r="D28" s="13">
        <v>139.76025390625</v>
      </c>
      <c r="E28" s="7">
        <f t="shared" si="1"/>
        <v>4.37496043</v>
      </c>
      <c r="G28" s="2" t="s">
        <v>15</v>
      </c>
      <c r="H28" s="13">
        <v>-71.6325302124023</v>
      </c>
      <c r="I28" s="13">
        <v>147.363586425781</v>
      </c>
      <c r="J28" s="3">
        <f t="shared" si="2"/>
        <v>8.915201124</v>
      </c>
      <c r="K28" s="2"/>
      <c r="L28" s="2" t="s">
        <v>15</v>
      </c>
      <c r="M28" s="13">
        <v>-67.266716003418</v>
      </c>
      <c r="N28" s="13">
        <v>151.913070678711</v>
      </c>
      <c r="O28" s="3">
        <f t="shared" si="3"/>
        <v>10.61270374</v>
      </c>
      <c r="P28" s="18">
        <v>-64.8482575850053</v>
      </c>
      <c r="Q28" s="18">
        <v>141.579603715376</v>
      </c>
    </row>
    <row r="29">
      <c r="A29" s="2"/>
      <c r="B29" s="2" t="s">
        <v>21</v>
      </c>
      <c r="C29" s="13">
        <v>-54.0279884338379</v>
      </c>
      <c r="D29" s="13">
        <v>153.651504516602</v>
      </c>
      <c r="E29" s="7">
        <f t="shared" si="1"/>
        <v>16.2113853</v>
      </c>
      <c r="G29" s="2" t="s">
        <v>21</v>
      </c>
      <c r="H29" s="13">
        <v>-47.4973335266113</v>
      </c>
      <c r="I29" s="13">
        <v>145.665969848633</v>
      </c>
      <c r="J29" s="3">
        <f t="shared" si="2"/>
        <v>17.82562632</v>
      </c>
      <c r="K29" s="2"/>
      <c r="L29" s="2" t="s">
        <v>21</v>
      </c>
      <c r="M29" s="13">
        <v>-64.0619812011719</v>
      </c>
      <c r="N29" s="13">
        <v>153.67268371582</v>
      </c>
      <c r="O29" s="3">
        <f t="shared" si="3"/>
        <v>12.11861438</v>
      </c>
      <c r="P29" s="18">
        <v>-64.8482575850053</v>
      </c>
      <c r="Q29" s="18">
        <v>141.579603715376</v>
      </c>
    </row>
    <row r="30">
      <c r="A30" s="2"/>
      <c r="B30" s="2" t="s">
        <v>7</v>
      </c>
      <c r="C30" s="13">
        <v>-67.4541549682617</v>
      </c>
      <c r="D30" s="13">
        <v>176.48942565918</v>
      </c>
      <c r="E30" s="7">
        <f t="shared" si="1"/>
        <v>35.00694744</v>
      </c>
      <c r="G30" s="2" t="s">
        <v>7</v>
      </c>
      <c r="H30" s="13">
        <v>-60.7088851928711</v>
      </c>
      <c r="I30" s="19">
        <v>157.985794067383</v>
      </c>
      <c r="J30" s="3">
        <f t="shared" si="2"/>
        <v>16.92032759</v>
      </c>
      <c r="K30" s="2"/>
      <c r="L30" s="2" t="s">
        <v>7</v>
      </c>
      <c r="M30" s="13">
        <v>-71.0220031738281</v>
      </c>
      <c r="N30" s="11">
        <f>-165.966049194336+360</f>
        <v>194.0339508</v>
      </c>
      <c r="O30" s="3">
        <f t="shared" si="3"/>
        <v>52.81641471</v>
      </c>
      <c r="P30" s="18">
        <v>-64.8482575850053</v>
      </c>
      <c r="Q30" s="18">
        <v>141.579603715376</v>
      </c>
    </row>
    <row r="31">
      <c r="A31" s="2"/>
      <c r="B31" s="2" t="s">
        <v>15</v>
      </c>
      <c r="C31" s="13">
        <v>-74.980842590332</v>
      </c>
      <c r="D31" s="13">
        <v>162.338500976563</v>
      </c>
      <c r="E31" s="7">
        <f t="shared" si="1"/>
        <v>23.09980724</v>
      </c>
      <c r="G31" s="2" t="s">
        <v>15</v>
      </c>
      <c r="H31" s="13">
        <v>-60.2866859436035</v>
      </c>
      <c r="I31" s="13">
        <v>145.417999267578</v>
      </c>
      <c r="J31" s="3">
        <f t="shared" si="2"/>
        <v>5.961645432</v>
      </c>
      <c r="K31" s="2"/>
      <c r="L31" s="2" t="s">
        <v>15</v>
      </c>
      <c r="M31" s="13">
        <v>-144.241424560547</v>
      </c>
      <c r="N31" s="13">
        <v>150.277725219727</v>
      </c>
      <c r="O31" s="3">
        <f t="shared" si="3"/>
        <v>79.86821821</v>
      </c>
      <c r="P31" s="18">
        <v>-64.8482575850053</v>
      </c>
      <c r="Q31" s="18">
        <v>141.579603715376</v>
      </c>
    </row>
    <row r="32">
      <c r="A32" s="2"/>
      <c r="B32" s="2" t="s">
        <v>21</v>
      </c>
      <c r="C32" s="13">
        <v>-36.7766952514648</v>
      </c>
      <c r="D32" s="13">
        <v>132.791717529297</v>
      </c>
      <c r="E32" s="7">
        <f t="shared" si="1"/>
        <v>29.41495462</v>
      </c>
      <c r="G32" s="2" t="s">
        <v>21</v>
      </c>
      <c r="H32" s="13">
        <v>-50.6678276062012</v>
      </c>
      <c r="I32" s="13">
        <v>146.326568603516</v>
      </c>
      <c r="J32" s="3">
        <f t="shared" si="2"/>
        <v>14.95387141</v>
      </c>
      <c r="K32" s="2"/>
      <c r="L32" s="2" t="s">
        <v>21</v>
      </c>
      <c r="M32" s="13">
        <v>-55.2483596801758</v>
      </c>
      <c r="N32" s="13">
        <v>135.835220336914</v>
      </c>
      <c r="O32" s="3">
        <f t="shared" si="3"/>
        <v>11.18731336</v>
      </c>
      <c r="P32" s="18">
        <v>-64.8482575850053</v>
      </c>
      <c r="Q32" s="18">
        <v>141.579603715376</v>
      </c>
    </row>
    <row r="33">
      <c r="A33" s="2"/>
      <c r="B33" s="2" t="s">
        <v>7</v>
      </c>
      <c r="C33" s="13">
        <v>-68.7373504638672</v>
      </c>
      <c r="D33" s="13">
        <f>-176.853378295898+360</f>
        <v>183.1466217</v>
      </c>
      <c r="E33" s="7">
        <f t="shared" si="1"/>
        <v>41.7485572</v>
      </c>
      <c r="G33" s="2" t="s">
        <v>7</v>
      </c>
      <c r="H33" s="13">
        <v>-95.5458297729492</v>
      </c>
      <c r="I33" s="11">
        <f>-169.836181640625+360</f>
        <v>190.1638184</v>
      </c>
      <c r="J33" s="3">
        <f t="shared" si="2"/>
        <v>57.46970376</v>
      </c>
      <c r="K33" s="2"/>
      <c r="L33" s="2" t="s">
        <v>7</v>
      </c>
      <c r="M33" s="13">
        <v>-66.6655197143555</v>
      </c>
      <c r="N33" s="11">
        <f>-170.453414916992+360</f>
        <v>189.5465851</v>
      </c>
      <c r="O33" s="3">
        <f t="shared" si="3"/>
        <v>48.00139314</v>
      </c>
      <c r="P33" s="18">
        <v>-64.8482575850053</v>
      </c>
      <c r="Q33" s="18">
        <v>141.579603715376</v>
      </c>
    </row>
    <row r="34">
      <c r="A34" s="2"/>
      <c r="B34" s="2" t="s">
        <v>15</v>
      </c>
      <c r="C34" s="13">
        <v>-60.9081840515137</v>
      </c>
      <c r="D34" s="11">
        <v>140.046798706055</v>
      </c>
      <c r="E34" s="7">
        <f t="shared" si="1"/>
        <v>4.227726416</v>
      </c>
      <c r="G34" s="2" t="s">
        <v>15</v>
      </c>
      <c r="H34" s="13">
        <v>-71.4666595458984</v>
      </c>
      <c r="I34" s="13">
        <v>156.965118408203</v>
      </c>
      <c r="J34" s="3">
        <f t="shared" si="2"/>
        <v>16.7486509</v>
      </c>
      <c r="K34" s="2"/>
      <c r="L34" s="2" t="s">
        <v>15</v>
      </c>
      <c r="M34" s="13">
        <v>-48.6573600769043</v>
      </c>
      <c r="N34" s="13">
        <v>146.838607788086</v>
      </c>
      <c r="O34" s="3">
        <f t="shared" si="3"/>
        <v>17.02358029</v>
      </c>
      <c r="P34" s="18">
        <v>-64.8482575850053</v>
      </c>
      <c r="Q34" s="18">
        <v>141.579603715376</v>
      </c>
    </row>
    <row r="35">
      <c r="A35" s="2"/>
      <c r="B35" s="2" t="s">
        <v>21</v>
      </c>
      <c r="C35" s="13">
        <v>-42.4459075927734</v>
      </c>
      <c r="D35" s="13">
        <v>125.894653320313</v>
      </c>
      <c r="E35" s="7">
        <f t="shared" si="1"/>
        <v>27.34744877</v>
      </c>
      <c r="G35" s="2" t="s">
        <v>21</v>
      </c>
      <c r="H35" s="13">
        <v>-55.787483215332</v>
      </c>
      <c r="I35" s="13">
        <v>145.259994506836</v>
      </c>
      <c r="J35" s="3">
        <f t="shared" si="2"/>
        <v>9.779719247</v>
      </c>
      <c r="K35" s="2"/>
      <c r="L35" s="2" t="s">
        <v>21</v>
      </c>
      <c r="M35" s="13">
        <v>-54.0705375671387</v>
      </c>
      <c r="N35" s="13">
        <v>135.812957763672</v>
      </c>
      <c r="O35" s="3">
        <f t="shared" si="3"/>
        <v>12.22347963</v>
      </c>
      <c r="P35" s="18">
        <v>-64.8482575850053</v>
      </c>
      <c r="Q35" s="18">
        <v>141.579603715376</v>
      </c>
    </row>
    <row r="36">
      <c r="A36" s="2"/>
      <c r="B36" s="2" t="s">
        <v>7</v>
      </c>
      <c r="C36" s="13">
        <v>-66.7079162597656</v>
      </c>
      <c r="D36" s="19">
        <v>179.686889648438</v>
      </c>
      <c r="E36" s="7">
        <f t="shared" si="1"/>
        <v>38.15263519</v>
      </c>
      <c r="G36" s="2" t="s">
        <v>7</v>
      </c>
      <c r="H36" s="13">
        <v>-65.8944091796875</v>
      </c>
      <c r="I36" s="11">
        <f>-161.681838989258+360</f>
        <v>198.318161</v>
      </c>
      <c r="J36" s="3">
        <f t="shared" si="2"/>
        <v>56.748201</v>
      </c>
      <c r="K36" s="2"/>
      <c r="L36" s="2" t="s">
        <v>7</v>
      </c>
      <c r="M36" s="13">
        <v>-65.6625366210938</v>
      </c>
      <c r="N36" s="17">
        <f>-174.783081054688+360</f>
        <v>185.2169189</v>
      </c>
      <c r="O36" s="3">
        <f t="shared" si="3"/>
        <v>43.64491185</v>
      </c>
      <c r="P36" s="18">
        <v>-64.8482575850053</v>
      </c>
      <c r="Q36" s="18">
        <v>141.579603715376</v>
      </c>
    </row>
    <row r="37">
      <c r="A37" s="2"/>
      <c r="B37" s="2" t="s">
        <v>15</v>
      </c>
      <c r="C37" s="13">
        <v>-56.5335960388184</v>
      </c>
      <c r="D37" s="13">
        <v>128.558639526367</v>
      </c>
      <c r="E37" s="7">
        <f t="shared" si="1"/>
        <v>15.44924286</v>
      </c>
      <c r="G37" s="2" t="s">
        <v>15</v>
      </c>
      <c r="H37" s="13">
        <v>-67.8898696899414</v>
      </c>
      <c r="I37" s="13">
        <v>135.453277587891</v>
      </c>
      <c r="J37" s="3">
        <f t="shared" si="2"/>
        <v>6.839830116</v>
      </c>
      <c r="K37" s="2"/>
      <c r="L37" s="2" t="s">
        <v>15</v>
      </c>
      <c r="M37" s="13">
        <v>-65.0620803833008</v>
      </c>
      <c r="N37" s="13">
        <v>135.96760559082</v>
      </c>
      <c r="O37" s="3">
        <f t="shared" si="3"/>
        <v>5.61607008</v>
      </c>
      <c r="P37" s="18">
        <v>-64.8482575850053</v>
      </c>
      <c r="Q37" s="18">
        <v>141.579603715376</v>
      </c>
    </row>
    <row r="38">
      <c r="A38" s="2"/>
      <c r="B38" s="2" t="s">
        <v>21</v>
      </c>
      <c r="C38" s="13">
        <v>-68.4626770019531</v>
      </c>
      <c r="D38" s="13">
        <v>-36.1186676025391</v>
      </c>
      <c r="E38" s="7">
        <f t="shared" si="1"/>
        <v>177.7350265</v>
      </c>
      <c r="G38" s="2" t="s">
        <v>21</v>
      </c>
      <c r="H38" s="13">
        <v>-36.5307235717773</v>
      </c>
      <c r="I38" s="13">
        <v>137.937759399414</v>
      </c>
      <c r="J38" s="3">
        <f t="shared" si="2"/>
        <v>28.55075765</v>
      </c>
      <c r="K38" s="2"/>
      <c r="L38" s="2" t="s">
        <v>21</v>
      </c>
      <c r="M38" s="13">
        <v>-38.8368034362793</v>
      </c>
      <c r="N38" s="13">
        <v>138.593566894531</v>
      </c>
      <c r="O38" s="3">
        <f t="shared" si="3"/>
        <v>26.1822872</v>
      </c>
      <c r="P38" s="18">
        <v>-64.8482575850053</v>
      </c>
      <c r="Q38" s="18">
        <v>141.579603715376</v>
      </c>
    </row>
    <row r="39">
      <c r="A39" s="2"/>
      <c r="B39" s="2" t="s">
        <v>7</v>
      </c>
      <c r="C39" s="13">
        <v>-70.2340469360352</v>
      </c>
      <c r="D39" s="13">
        <v>0.0</v>
      </c>
      <c r="E39" s="7">
        <f t="shared" si="1"/>
        <v>141.6820063</v>
      </c>
      <c r="G39" s="2" t="s">
        <v>7</v>
      </c>
      <c r="H39" s="13">
        <v>-59.8307914733887</v>
      </c>
      <c r="I39" s="13">
        <v>0.0</v>
      </c>
      <c r="J39" s="3">
        <f t="shared" si="2"/>
        <v>141.6684833</v>
      </c>
      <c r="K39" s="2"/>
      <c r="L39" s="2" t="s">
        <v>7</v>
      </c>
      <c r="M39" s="13">
        <v>-57.7742691040039</v>
      </c>
      <c r="N39" s="13">
        <v>0.0</v>
      </c>
      <c r="O39" s="3">
        <f t="shared" si="3"/>
        <v>141.7562186</v>
      </c>
      <c r="P39" s="18">
        <v>-64.8482575850053</v>
      </c>
      <c r="Q39" s="18">
        <v>141.579603715376</v>
      </c>
    </row>
    <row r="40">
      <c r="P40" s="18">
        <v>-64.8482575850053</v>
      </c>
      <c r="Q40" s="18">
        <v>141.579603715376</v>
      </c>
    </row>
    <row r="41">
      <c r="C41" s="1" t="s">
        <v>16</v>
      </c>
      <c r="G41" s="8" t="s">
        <v>17</v>
      </c>
      <c r="H41" s="8" t="s">
        <v>22</v>
      </c>
    </row>
    <row r="42">
      <c r="A42" s="3"/>
      <c r="C42" s="2" t="s">
        <v>19</v>
      </c>
      <c r="D42" s="3">
        <f t="shared" ref="D42:D79" si="4">AVERAGE(E2,J2,O2)</f>
        <v>133.8556395</v>
      </c>
      <c r="F42" s="3">
        <v>71.934206455097</v>
      </c>
      <c r="G42" s="3">
        <f t="shared" ref="G42:G79" si="5">STDEV(E2,J2,O2)</f>
        <v>59.60559248</v>
      </c>
      <c r="H42" s="7">
        <f t="shared" ref="H42:H79" si="6">G42/SQRT(3)</f>
        <v>34.41330486</v>
      </c>
      <c r="K42" s="10">
        <v>-60.2330017089844</v>
      </c>
      <c r="L42" s="10">
        <v>140.039764404297</v>
      </c>
    </row>
    <row r="43">
      <c r="A43" s="3"/>
      <c r="C43" s="2" t="s">
        <v>7</v>
      </c>
      <c r="D43" s="3">
        <f t="shared" si="4"/>
        <v>86.71996801</v>
      </c>
      <c r="F43" s="3">
        <v>123.949106963662</v>
      </c>
      <c r="G43" s="3">
        <f t="shared" si="5"/>
        <v>58.75964195</v>
      </c>
      <c r="H43" s="7">
        <f t="shared" si="6"/>
        <v>33.9248951</v>
      </c>
      <c r="K43" s="10">
        <v>-60.8695335388184</v>
      </c>
      <c r="L43" s="10">
        <v>139.76025390625</v>
      </c>
    </row>
    <row r="44">
      <c r="A44" s="3"/>
      <c r="C44" s="2" t="s">
        <v>8</v>
      </c>
      <c r="D44" s="3">
        <f t="shared" si="4"/>
        <v>78.37208203</v>
      </c>
      <c r="F44" s="3">
        <v>33.5044674353153</v>
      </c>
      <c r="G44" s="3">
        <f t="shared" si="5"/>
        <v>43.02056549</v>
      </c>
      <c r="H44" s="7">
        <f t="shared" si="6"/>
        <v>24.83793506</v>
      </c>
      <c r="K44" s="10">
        <v>-60.9081840515137</v>
      </c>
      <c r="L44" s="10">
        <v>140.046798706055</v>
      </c>
    </row>
    <row r="45">
      <c r="A45" s="3"/>
      <c r="C45" s="2" t="s">
        <v>20</v>
      </c>
      <c r="D45" s="3">
        <f t="shared" si="4"/>
        <v>71.10750099</v>
      </c>
      <c r="F45" s="3">
        <v>73.5136195424533</v>
      </c>
      <c r="G45" s="3">
        <f t="shared" si="5"/>
        <v>82.96122797</v>
      </c>
      <c r="H45" s="7">
        <f t="shared" si="6"/>
        <v>47.8976873</v>
      </c>
      <c r="K45" s="10">
        <v>-62.2293281555176</v>
      </c>
      <c r="L45" s="10">
        <v>146.088607788086</v>
      </c>
    </row>
    <row r="46">
      <c r="A46" s="3"/>
      <c r="C46" s="2" t="s">
        <v>7</v>
      </c>
      <c r="D46" s="3">
        <f t="shared" si="4"/>
        <v>115.8229463</v>
      </c>
      <c r="F46" s="3">
        <v>107.321864191733</v>
      </c>
      <c r="G46" s="3">
        <f t="shared" si="5"/>
        <v>30.7744404</v>
      </c>
      <c r="H46" s="7">
        <f t="shared" si="6"/>
        <v>17.76763145</v>
      </c>
      <c r="K46" s="10">
        <v>-65.7890014648438</v>
      </c>
      <c r="L46" s="10">
        <v>133.127395629883</v>
      </c>
    </row>
    <row r="47">
      <c r="A47" s="3"/>
      <c r="C47" s="2" t="s">
        <v>8</v>
      </c>
      <c r="D47" s="3">
        <f t="shared" si="4"/>
        <v>20.82370086</v>
      </c>
      <c r="F47" s="3">
        <v>26.0371001552945</v>
      </c>
      <c r="G47" s="3">
        <f t="shared" si="5"/>
        <v>13.75347194</v>
      </c>
      <c r="H47" s="7">
        <f t="shared" si="6"/>
        <v>7.940570726</v>
      </c>
      <c r="K47" s="10">
        <v>-67.6352005004883</v>
      </c>
      <c r="L47" s="10">
        <v>145.502502441406</v>
      </c>
    </row>
    <row r="48">
      <c r="A48" s="3"/>
      <c r="C48" s="2" t="s">
        <v>20</v>
      </c>
      <c r="D48" s="3">
        <f t="shared" si="4"/>
        <v>36.15778571</v>
      </c>
      <c r="F48" s="3">
        <v>19.3926183182707</v>
      </c>
      <c r="G48" s="3">
        <f t="shared" si="5"/>
        <v>46.54704002</v>
      </c>
      <c r="H48" s="7">
        <f t="shared" si="6"/>
        <v>26.87394609</v>
      </c>
      <c r="K48" s="10">
        <v>-71.6325302124023</v>
      </c>
      <c r="L48" s="10">
        <v>147.363586425781</v>
      </c>
    </row>
    <row r="49">
      <c r="A49" s="3"/>
      <c r="C49" s="2" t="s">
        <v>7</v>
      </c>
      <c r="D49" s="3">
        <f t="shared" si="4"/>
        <v>31.80836621</v>
      </c>
      <c r="F49" s="3">
        <v>26.9594120498631</v>
      </c>
      <c r="G49" s="3">
        <f t="shared" si="5"/>
        <v>16.06491378</v>
      </c>
      <c r="H49" s="7">
        <f t="shared" si="6"/>
        <v>9.275082294</v>
      </c>
      <c r="K49" s="10">
        <v>-60.2866859436035</v>
      </c>
      <c r="L49" s="10">
        <v>145.417999267578</v>
      </c>
    </row>
    <row r="50">
      <c r="A50" s="3"/>
      <c r="C50" s="2" t="s">
        <v>8</v>
      </c>
      <c r="D50" s="3">
        <f t="shared" si="4"/>
        <v>18.38058968</v>
      </c>
      <c r="F50" s="3">
        <v>13.85419752987</v>
      </c>
      <c r="G50" s="3">
        <f t="shared" si="5"/>
        <v>9.543260368</v>
      </c>
      <c r="H50" s="7">
        <f t="shared" si="6"/>
        <v>5.509803942</v>
      </c>
      <c r="K50" s="10">
        <v>-67.8898696899414</v>
      </c>
      <c r="L50" s="10">
        <v>135.453277587891</v>
      </c>
    </row>
    <row r="51">
      <c r="A51" s="3"/>
      <c r="C51" s="2" t="s">
        <v>20</v>
      </c>
      <c r="D51" s="3">
        <f t="shared" si="4"/>
        <v>11.71945653</v>
      </c>
      <c r="F51" s="3">
        <v>14.5506086853734</v>
      </c>
      <c r="G51" s="3">
        <f t="shared" si="5"/>
        <v>6.714849875</v>
      </c>
      <c r="H51" s="7">
        <f t="shared" si="6"/>
        <v>3.876820383</v>
      </c>
      <c r="K51" s="10">
        <v>-70.7954177856445</v>
      </c>
      <c r="L51" s="10">
        <v>148.607849121094</v>
      </c>
    </row>
    <row r="52">
      <c r="A52" s="3"/>
      <c r="C52" s="2" t="s">
        <v>7</v>
      </c>
      <c r="D52" s="3">
        <f t="shared" si="4"/>
        <v>33.99919738</v>
      </c>
      <c r="F52" s="3">
        <v>29.5236445901694</v>
      </c>
      <c r="G52" s="3">
        <f t="shared" si="5"/>
        <v>5.85649105</v>
      </c>
      <c r="H52" s="7">
        <f t="shared" si="6"/>
        <v>3.381246684</v>
      </c>
      <c r="K52" s="10">
        <v>-65.0620803833008</v>
      </c>
      <c r="L52" s="10">
        <v>135.96760559082</v>
      </c>
    </row>
    <row r="53">
      <c r="A53" s="3"/>
      <c r="C53" s="2" t="s">
        <v>8</v>
      </c>
      <c r="D53" s="3">
        <f t="shared" si="4"/>
        <v>22.89575445</v>
      </c>
      <c r="F53" s="3">
        <v>13.6523538402022</v>
      </c>
      <c r="G53" s="3">
        <f t="shared" si="5"/>
        <v>15.90529421</v>
      </c>
      <c r="H53" s="7">
        <f t="shared" si="6"/>
        <v>9.182925896</v>
      </c>
    </row>
    <row r="54">
      <c r="A54" s="3"/>
      <c r="C54" s="2" t="s">
        <v>20</v>
      </c>
      <c r="D54" s="3">
        <f t="shared" si="4"/>
        <v>7.959227544</v>
      </c>
      <c r="F54" s="3">
        <v>8.08485562416847</v>
      </c>
      <c r="G54" s="3">
        <f t="shared" si="5"/>
        <v>2.554344362</v>
      </c>
      <c r="H54" s="7">
        <f t="shared" si="6"/>
        <v>1.474751405</v>
      </c>
    </row>
    <row r="55">
      <c r="A55" s="3"/>
      <c r="C55" s="2" t="s">
        <v>7</v>
      </c>
      <c r="D55" s="3">
        <f t="shared" si="4"/>
        <v>33.8097153</v>
      </c>
      <c r="F55" s="3">
        <v>29.3415198952633</v>
      </c>
      <c r="G55" s="3">
        <f t="shared" si="5"/>
        <v>13.71250688</v>
      </c>
      <c r="H55" s="7">
        <f t="shared" si="6"/>
        <v>7.916919536</v>
      </c>
    </row>
    <row r="56">
      <c r="A56" s="3"/>
      <c r="C56" s="2" t="s">
        <v>8</v>
      </c>
      <c r="D56" s="3">
        <f t="shared" si="4"/>
        <v>13.44991108</v>
      </c>
      <c r="F56" s="3">
        <v>28.5725853036573</v>
      </c>
      <c r="G56" s="3">
        <f t="shared" si="5"/>
        <v>5.435321297</v>
      </c>
      <c r="H56" s="7">
        <f t="shared" si="6"/>
        <v>3.138084214</v>
      </c>
      <c r="J56" s="8" t="s">
        <v>23</v>
      </c>
      <c r="K56" s="9">
        <f t="shared" ref="K56:L56" si="7">AVERAGE(K42:K52)</f>
        <v>-64.84825759</v>
      </c>
      <c r="L56" s="9">
        <f t="shared" si="7"/>
        <v>141.5796037</v>
      </c>
    </row>
    <row r="57">
      <c r="A57" s="3"/>
      <c r="C57" s="2" t="s">
        <v>21</v>
      </c>
      <c r="D57" s="3">
        <f t="shared" si="4"/>
        <v>19.06636669</v>
      </c>
      <c r="F57" s="3">
        <v>23.5197007651978</v>
      </c>
      <c r="G57" s="3">
        <f t="shared" si="5"/>
        <v>12.02418517</v>
      </c>
      <c r="H57" s="7">
        <f t="shared" si="6"/>
        <v>6.942166547</v>
      </c>
      <c r="J57" s="8" t="s">
        <v>24</v>
      </c>
      <c r="K57" s="9">
        <f t="shared" ref="K57:L57" si="8">STDEV(K42:K52)</f>
        <v>4.238702422</v>
      </c>
      <c r="L57" s="9">
        <f t="shared" si="8"/>
        <v>5.308493839</v>
      </c>
    </row>
    <row r="58">
      <c r="A58" s="3"/>
      <c r="C58" s="2" t="s">
        <v>7</v>
      </c>
      <c r="D58" s="3">
        <f t="shared" si="4"/>
        <v>34.869455</v>
      </c>
      <c r="F58" s="3">
        <v>37.2134884914141</v>
      </c>
      <c r="G58" s="3">
        <f t="shared" si="5"/>
        <v>5.539481477</v>
      </c>
      <c r="H58" s="7">
        <f t="shared" si="6"/>
        <v>3.198221122</v>
      </c>
    </row>
    <row r="59">
      <c r="A59" s="3"/>
      <c r="C59" s="2" t="s">
        <v>8</v>
      </c>
      <c r="D59" s="3">
        <f t="shared" si="4"/>
        <v>26.99990845</v>
      </c>
      <c r="F59" s="3">
        <v>11.9191067816356</v>
      </c>
      <c r="G59" s="3">
        <f t="shared" si="5"/>
        <v>5.644179565</v>
      </c>
      <c r="H59" s="7">
        <f t="shared" si="6"/>
        <v>3.258668591</v>
      </c>
    </row>
    <row r="60">
      <c r="A60" s="3"/>
      <c r="C60" s="2" t="s">
        <v>21</v>
      </c>
      <c r="D60" s="3">
        <f t="shared" si="4"/>
        <v>13.67273306</v>
      </c>
      <c r="F60" s="3">
        <v>20.3649551665633</v>
      </c>
      <c r="G60" s="3">
        <f t="shared" si="5"/>
        <v>5.969152007</v>
      </c>
      <c r="H60" s="7">
        <f t="shared" si="6"/>
        <v>3.446291518</v>
      </c>
    </row>
    <row r="61">
      <c r="A61" s="3"/>
      <c r="C61" s="2" t="s">
        <v>7</v>
      </c>
      <c r="D61" s="3">
        <f t="shared" si="4"/>
        <v>41.16286714</v>
      </c>
      <c r="F61" s="3">
        <v>40.0484967013321</v>
      </c>
      <c r="G61" s="3">
        <f t="shared" si="5"/>
        <v>9.723769897</v>
      </c>
      <c r="H61" s="7">
        <f t="shared" si="6"/>
        <v>5.614021168</v>
      </c>
    </row>
    <row r="62">
      <c r="A62" s="3"/>
      <c r="C62" s="2" t="s">
        <v>8</v>
      </c>
      <c r="D62" s="3">
        <f t="shared" si="4"/>
        <v>17.80792066</v>
      </c>
      <c r="F62" s="3">
        <v>16.7315769858946</v>
      </c>
      <c r="G62" s="3">
        <f t="shared" si="5"/>
        <v>8.627456119</v>
      </c>
      <c r="H62" s="7">
        <f t="shared" si="6"/>
        <v>4.981064112</v>
      </c>
    </row>
    <row r="63">
      <c r="A63" s="3"/>
      <c r="C63" s="2" t="s">
        <v>21</v>
      </c>
      <c r="D63" s="3">
        <f t="shared" si="4"/>
        <v>18.90735418</v>
      </c>
      <c r="F63" s="3">
        <v>20.2258515382697</v>
      </c>
      <c r="G63" s="3">
        <f t="shared" si="5"/>
        <v>2.836287123</v>
      </c>
      <c r="H63" s="7">
        <f t="shared" si="6"/>
        <v>1.637531134</v>
      </c>
    </row>
    <row r="64">
      <c r="A64" s="3"/>
      <c r="C64" s="2" t="s">
        <v>7</v>
      </c>
      <c r="D64" s="3">
        <f t="shared" si="4"/>
        <v>40.99297322</v>
      </c>
      <c r="F64" s="3">
        <v>44.224801317219</v>
      </c>
      <c r="G64" s="3">
        <f t="shared" si="5"/>
        <v>16.0467905</v>
      </c>
      <c r="H64" s="7">
        <f t="shared" si="6"/>
        <v>9.264618817</v>
      </c>
    </row>
    <row r="65">
      <c r="A65" s="3"/>
      <c r="C65" s="2" t="s">
        <v>8</v>
      </c>
      <c r="D65" s="3">
        <f t="shared" si="4"/>
        <v>15.31059057</v>
      </c>
      <c r="F65" s="3">
        <v>27.831895011319</v>
      </c>
      <c r="G65" s="3">
        <f t="shared" si="5"/>
        <v>12.21027964</v>
      </c>
      <c r="H65" s="7">
        <f t="shared" si="6"/>
        <v>7.049608235</v>
      </c>
    </row>
    <row r="66">
      <c r="A66" s="3"/>
      <c r="C66" s="2" t="s">
        <v>21</v>
      </c>
      <c r="D66" s="3">
        <f t="shared" si="4"/>
        <v>17.93905207</v>
      </c>
      <c r="F66" s="3">
        <v>19.3644280431731</v>
      </c>
      <c r="G66" s="3">
        <f t="shared" si="5"/>
        <v>2.915214973</v>
      </c>
      <c r="H66" s="7">
        <f t="shared" si="6"/>
        <v>1.683100149</v>
      </c>
    </row>
    <row r="67">
      <c r="A67" s="3"/>
      <c r="C67" s="2" t="s">
        <v>7</v>
      </c>
      <c r="D67" s="3">
        <f t="shared" si="4"/>
        <v>31.97274681</v>
      </c>
      <c r="F67" s="3">
        <v>28.0442308969247</v>
      </c>
      <c r="G67" s="3">
        <f t="shared" si="5"/>
        <v>12.60939228</v>
      </c>
      <c r="H67" s="7">
        <f t="shared" si="6"/>
        <v>7.280036026</v>
      </c>
    </row>
    <row r="68">
      <c r="A68" s="3"/>
      <c r="C68" s="2" t="s">
        <v>15</v>
      </c>
      <c r="D68" s="3">
        <f t="shared" si="4"/>
        <v>7.967621763</v>
      </c>
      <c r="F68" s="3">
        <v>6.61335906879207</v>
      </c>
      <c r="G68" s="3">
        <f t="shared" si="5"/>
        <v>3.225025639</v>
      </c>
      <c r="H68" s="7">
        <f t="shared" si="6"/>
        <v>1.861969421</v>
      </c>
    </row>
    <row r="69">
      <c r="A69" s="3"/>
      <c r="C69" s="2" t="s">
        <v>21</v>
      </c>
      <c r="D69" s="3">
        <f t="shared" si="4"/>
        <v>15.38520867</v>
      </c>
      <c r="F69" s="3">
        <v>21.3159853587223</v>
      </c>
      <c r="G69" s="3">
        <f t="shared" si="5"/>
        <v>2.941839937</v>
      </c>
      <c r="H69" s="7">
        <f t="shared" si="6"/>
        <v>1.698472079</v>
      </c>
    </row>
    <row r="70">
      <c r="A70" s="3"/>
      <c r="C70" s="2" t="s">
        <v>7</v>
      </c>
      <c r="D70" s="3">
        <f t="shared" si="4"/>
        <v>34.91456325</v>
      </c>
      <c r="F70" s="3">
        <v>38.9588444997717</v>
      </c>
      <c r="G70" s="3">
        <f t="shared" si="5"/>
        <v>17.94822189</v>
      </c>
      <c r="H70" s="7">
        <f t="shared" si="6"/>
        <v>10.36241074</v>
      </c>
    </row>
    <row r="71">
      <c r="A71" s="3"/>
      <c r="C71" s="2" t="s">
        <v>15</v>
      </c>
      <c r="D71" s="3">
        <f t="shared" si="4"/>
        <v>36.30989029</v>
      </c>
      <c r="F71" s="3">
        <v>8.94112399638795</v>
      </c>
      <c r="G71" s="3">
        <f t="shared" si="5"/>
        <v>38.68365412</v>
      </c>
      <c r="H71" s="7">
        <f t="shared" si="6"/>
        <v>22.33401812</v>
      </c>
    </row>
    <row r="72">
      <c r="A72" s="3"/>
      <c r="C72" s="2" t="s">
        <v>21</v>
      </c>
      <c r="D72" s="3">
        <f t="shared" si="4"/>
        <v>18.51871313</v>
      </c>
      <c r="F72" s="3">
        <v>19.9920196254413</v>
      </c>
      <c r="G72" s="3">
        <f t="shared" si="5"/>
        <v>9.622515206</v>
      </c>
      <c r="H72" s="7">
        <f t="shared" si="6"/>
        <v>5.555561745</v>
      </c>
    </row>
    <row r="73">
      <c r="A73" s="3"/>
      <c r="C73" s="2" t="s">
        <v>7</v>
      </c>
      <c r="D73" s="3">
        <f t="shared" si="4"/>
        <v>49.07321803</v>
      </c>
      <c r="F73" s="3">
        <v>51.7827994777754</v>
      </c>
      <c r="G73" s="3">
        <f t="shared" si="5"/>
        <v>7.915189121</v>
      </c>
      <c r="H73" s="7">
        <f t="shared" si="6"/>
        <v>4.56983657</v>
      </c>
    </row>
    <row r="74">
      <c r="A74" s="3"/>
      <c r="C74" s="2" t="s">
        <v>15</v>
      </c>
      <c r="D74" s="3">
        <f t="shared" si="4"/>
        <v>12.66665253</v>
      </c>
      <c r="F74" s="3">
        <v>59.3300387748468</v>
      </c>
      <c r="G74" s="3">
        <f t="shared" si="5"/>
        <v>7.309617095</v>
      </c>
      <c r="H74" s="7">
        <f t="shared" si="6"/>
        <v>4.220209398</v>
      </c>
    </row>
    <row r="75">
      <c r="A75" s="3"/>
      <c r="C75" s="2" t="s">
        <v>21</v>
      </c>
      <c r="D75" s="3">
        <f t="shared" si="4"/>
        <v>16.45021588</v>
      </c>
      <c r="F75" s="3">
        <v>22.9014463636111</v>
      </c>
      <c r="G75" s="3">
        <f t="shared" si="5"/>
        <v>9.51605247</v>
      </c>
      <c r="H75" s="7">
        <f t="shared" si="6"/>
        <v>5.494095455</v>
      </c>
    </row>
    <row r="76">
      <c r="A76" s="3"/>
      <c r="C76" s="2" t="s">
        <v>7</v>
      </c>
      <c r="D76" s="3">
        <f t="shared" si="4"/>
        <v>46.18191601</v>
      </c>
      <c r="F76" s="3">
        <v>34.0287181021842</v>
      </c>
      <c r="G76" s="3">
        <f t="shared" si="5"/>
        <v>9.553850512</v>
      </c>
      <c r="H76" s="7">
        <f t="shared" si="6"/>
        <v>5.515918165</v>
      </c>
    </row>
    <row r="77">
      <c r="A77" s="3"/>
      <c r="C77" s="2" t="s">
        <v>15</v>
      </c>
      <c r="D77" s="3">
        <f t="shared" si="4"/>
        <v>9.301714353</v>
      </c>
      <c r="F77" s="3">
        <v>26.679687426085</v>
      </c>
      <c r="G77" s="3">
        <f t="shared" si="5"/>
        <v>5.358962329</v>
      </c>
      <c r="H77" s="7">
        <f t="shared" si="6"/>
        <v>3.093998343</v>
      </c>
    </row>
    <row r="78">
      <c r="A78" s="3"/>
      <c r="C78" s="2" t="s">
        <v>21</v>
      </c>
      <c r="D78" s="3">
        <f t="shared" si="4"/>
        <v>77.48935713</v>
      </c>
      <c r="F78" s="3">
        <v>15.0779795444002</v>
      </c>
      <c r="G78" s="3">
        <f t="shared" si="5"/>
        <v>86.82337294</v>
      </c>
      <c r="H78" s="7">
        <f t="shared" si="6"/>
        <v>50.12749774</v>
      </c>
    </row>
    <row r="79">
      <c r="A79" s="3"/>
      <c r="C79" s="2" t="s">
        <v>7</v>
      </c>
      <c r="D79" s="3">
        <f t="shared" si="4"/>
        <v>141.7022361</v>
      </c>
      <c r="F79" s="3">
        <v>142.553857431584</v>
      </c>
      <c r="G79" s="3">
        <f t="shared" si="5"/>
        <v>0.04723665538</v>
      </c>
      <c r="H79" s="7">
        <f t="shared" si="6"/>
        <v>0.0272720957</v>
      </c>
    </row>
    <row r="81">
      <c r="C81" s="8" t="s">
        <v>25</v>
      </c>
      <c r="D81" s="8" t="s">
        <v>26</v>
      </c>
      <c r="E81" s="8" t="s">
        <v>27</v>
      </c>
      <c r="G81" s="8" t="s">
        <v>28</v>
      </c>
      <c r="H81" s="8" t="s">
        <v>29</v>
      </c>
    </row>
    <row r="82">
      <c r="A82" s="7"/>
      <c r="C82" s="8">
        <v>0.0</v>
      </c>
      <c r="D82" s="10">
        <v>0.0</v>
      </c>
      <c r="E82" s="7">
        <f>D82/D103</f>
        <v>0</v>
      </c>
      <c r="G82" s="7">
        <f>SUMPRODUCT(C82:C102, E82:E102) / SUM(E82:E102)</f>
        <v>43.15789474</v>
      </c>
      <c r="H82" s="20">
        <f>SQRT(SUMPRODUCT(D82:D102, (C82:C102 - SUMPRODUCT(D82:D102, C82:C102) / SUM(D82:D102))^2) / (SUM(D82:D102) - 1))
</f>
        <v>34.49287143</v>
      </c>
    </row>
    <row r="83">
      <c r="C83" s="8">
        <v>10.0</v>
      </c>
      <c r="D83" s="10">
        <v>3.0</v>
      </c>
      <c r="E83" s="7">
        <f>D83/D103</f>
        <v>0.07894736842</v>
      </c>
    </row>
    <row r="84">
      <c r="C84" s="8">
        <v>20.0</v>
      </c>
      <c r="D84" s="10">
        <v>13.0</v>
      </c>
      <c r="E84" s="7">
        <f>D84/D103</f>
        <v>0.3421052632</v>
      </c>
    </row>
    <row r="85">
      <c r="C85" s="8">
        <v>30.0</v>
      </c>
      <c r="D85" s="10">
        <v>3.0</v>
      </c>
      <c r="E85" s="7">
        <f>D85/D103</f>
        <v>0.07894736842</v>
      </c>
    </row>
    <row r="86">
      <c r="C86" s="8">
        <v>40.0</v>
      </c>
      <c r="D86" s="10">
        <v>8.0</v>
      </c>
      <c r="E86" s="7">
        <f>D86/D103</f>
        <v>0.2105263158</v>
      </c>
    </row>
    <row r="87">
      <c r="C87" s="8">
        <v>50.0</v>
      </c>
      <c r="D87" s="10">
        <v>4.0</v>
      </c>
      <c r="E87" s="7">
        <f>D87/D103</f>
        <v>0.1052631579</v>
      </c>
    </row>
    <row r="88">
      <c r="C88" s="8">
        <v>60.0</v>
      </c>
      <c r="D88" s="10">
        <v>0.0</v>
      </c>
      <c r="E88" s="7">
        <f>D88/D103</f>
        <v>0</v>
      </c>
    </row>
    <row r="89">
      <c r="C89" s="8">
        <v>70.0</v>
      </c>
      <c r="D89" s="10">
        <v>0.0</v>
      </c>
      <c r="E89" s="7">
        <f>D89/D103</f>
        <v>0</v>
      </c>
    </row>
    <row r="90">
      <c r="C90" s="8">
        <v>80.0</v>
      </c>
      <c r="D90" s="10">
        <v>3.0</v>
      </c>
      <c r="E90" s="7">
        <f>D90/D103</f>
        <v>0.07894736842</v>
      </c>
    </row>
    <row r="91">
      <c r="C91" s="8">
        <v>90.0</v>
      </c>
      <c r="D91" s="10">
        <v>1.0</v>
      </c>
      <c r="E91" s="7">
        <f>D91/D103</f>
        <v>0.02631578947</v>
      </c>
    </row>
    <row r="92">
      <c r="C92" s="8">
        <v>100.0</v>
      </c>
      <c r="D92" s="10">
        <v>0.0</v>
      </c>
      <c r="E92" s="7">
        <f>D92/D103</f>
        <v>0</v>
      </c>
    </row>
    <row r="93">
      <c r="C93" s="8">
        <v>110.0</v>
      </c>
      <c r="D93" s="10">
        <v>0.0</v>
      </c>
      <c r="E93" s="7">
        <f>D93/D103</f>
        <v>0</v>
      </c>
    </row>
    <row r="94">
      <c r="C94" s="8">
        <v>120.0</v>
      </c>
      <c r="D94" s="10">
        <v>1.0</v>
      </c>
      <c r="E94" s="7">
        <f>D94/D103</f>
        <v>0.02631578947</v>
      </c>
    </row>
    <row r="95">
      <c r="C95" s="8">
        <v>130.0</v>
      </c>
      <c r="D95" s="10">
        <v>0.0</v>
      </c>
      <c r="E95" s="7">
        <f>D95/D103</f>
        <v>0</v>
      </c>
    </row>
    <row r="96">
      <c r="C96" s="8">
        <v>140.0</v>
      </c>
      <c r="D96" s="10">
        <v>1.0</v>
      </c>
      <c r="E96" s="7">
        <f>D96/D103</f>
        <v>0.02631578947</v>
      </c>
    </row>
    <row r="97">
      <c r="C97" s="8">
        <v>150.0</v>
      </c>
      <c r="D97" s="10">
        <v>1.0</v>
      </c>
      <c r="E97" s="7">
        <f>D97/D103</f>
        <v>0.02631578947</v>
      </c>
    </row>
    <row r="98">
      <c r="C98" s="8">
        <v>160.0</v>
      </c>
      <c r="D98" s="10">
        <v>0.0</v>
      </c>
      <c r="E98" s="7">
        <f>D98/D103</f>
        <v>0</v>
      </c>
    </row>
    <row r="99">
      <c r="C99" s="8">
        <v>170.0</v>
      </c>
      <c r="D99" s="10">
        <v>0.0</v>
      </c>
      <c r="E99" s="7">
        <f>D99/D103</f>
        <v>0</v>
      </c>
    </row>
    <row r="100">
      <c r="C100" s="8">
        <v>180.0</v>
      </c>
      <c r="D100" s="10">
        <v>0.0</v>
      </c>
      <c r="E100" s="7">
        <f>D100/D103</f>
        <v>0</v>
      </c>
    </row>
    <row r="101">
      <c r="C101" s="8">
        <v>190.0</v>
      </c>
      <c r="D101" s="10">
        <v>0.0</v>
      </c>
      <c r="E101" s="7">
        <f>D101/D103</f>
        <v>0</v>
      </c>
    </row>
    <row r="102">
      <c r="C102" s="8">
        <v>200.0</v>
      </c>
      <c r="D102" s="10">
        <v>0.0</v>
      </c>
      <c r="E102" s="7">
        <f>D102/D103</f>
        <v>0</v>
      </c>
    </row>
    <row r="103">
      <c r="D103" s="8">
        <f t="shared" ref="D103:E103" si="9">SUM(D82:D102)</f>
        <v>38</v>
      </c>
      <c r="E103" s="9">
        <f t="shared" si="9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 ht="12.7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  <c r="J1" s="1" t="s">
        <v>3</v>
      </c>
      <c r="K1" s="1"/>
      <c r="L1" s="1" t="s">
        <v>4</v>
      </c>
      <c r="M1" s="1" t="s">
        <v>1</v>
      </c>
      <c r="N1" s="1" t="s">
        <v>2</v>
      </c>
      <c r="O1" s="1" t="s">
        <v>3</v>
      </c>
      <c r="P1" s="1"/>
      <c r="Q1" s="1" t="s">
        <v>5</v>
      </c>
      <c r="R1" s="1" t="s">
        <v>1</v>
      </c>
      <c r="S1" s="1" t="s">
        <v>2</v>
      </c>
      <c r="T1" s="1" t="s">
        <v>3</v>
      </c>
      <c r="U1" s="1" t="s">
        <v>6</v>
      </c>
      <c r="W1" s="1" t="s">
        <v>18</v>
      </c>
      <c r="X1" s="1"/>
    </row>
    <row r="2" ht="12.75" customHeight="1">
      <c r="A2" s="2"/>
      <c r="B2" s="2"/>
      <c r="C2" s="2"/>
      <c r="D2" s="7"/>
      <c r="E2" s="2"/>
      <c r="F2" s="2"/>
      <c r="G2" s="2" t="s">
        <v>19</v>
      </c>
      <c r="H2" s="2">
        <v>0.0</v>
      </c>
      <c r="I2" s="2">
        <v>170.589599609375</v>
      </c>
      <c r="J2" s="7">
        <f t="shared" ref="J2:J39" si="1">SQRT((U3 - H2)^2 + (V3 - I2)^2)</f>
        <v>70.69724262</v>
      </c>
      <c r="L2" s="2" t="s">
        <v>19</v>
      </c>
      <c r="M2" s="2">
        <v>0.0</v>
      </c>
      <c r="N2" s="2">
        <v>97.4753189086914</v>
      </c>
      <c r="O2" s="3">
        <f t="shared" ref="O2:O39" si="2">SQRT((U3 - M2)^2 + (V3 - N2)^2)</f>
        <v>78.72701119</v>
      </c>
      <c r="Q2" s="2" t="s">
        <v>19</v>
      </c>
      <c r="R2" s="2">
        <v>0.0</v>
      </c>
      <c r="S2" s="2">
        <v>156.791641235352</v>
      </c>
      <c r="T2" s="3">
        <f t="shared" ref="T2:T39" si="3">SQRT((U3 - R2)^2 + (V3 - S2)^2)</f>
        <v>66.37836556</v>
      </c>
      <c r="U2" s="1" t="s">
        <v>1</v>
      </c>
      <c r="V2" s="1" t="s">
        <v>2</v>
      </c>
      <c r="W2" s="1" t="s">
        <v>1</v>
      </c>
      <c r="X2" s="1" t="s">
        <v>2</v>
      </c>
    </row>
    <row r="3" ht="12.75" customHeight="1">
      <c r="A3" s="2"/>
      <c r="B3" s="2"/>
      <c r="C3" s="2"/>
      <c r="D3" s="7"/>
      <c r="E3" s="2"/>
      <c r="F3" s="2"/>
      <c r="G3" s="2" t="s">
        <v>7</v>
      </c>
      <c r="H3" s="2">
        <v>-72.1868896484375</v>
      </c>
      <c r="I3" s="2">
        <v>177.380874633789</v>
      </c>
      <c r="J3" s="7">
        <f t="shared" si="1"/>
        <v>35.91870385</v>
      </c>
      <c r="L3" s="2" t="s">
        <v>7</v>
      </c>
      <c r="M3" s="2">
        <v>-71.7869415283203</v>
      </c>
      <c r="N3" s="5">
        <f>-150.679168701172+360</f>
        <v>209.3208313</v>
      </c>
      <c r="O3" s="3">
        <f t="shared" si="2"/>
        <v>67.44981931</v>
      </c>
      <c r="Q3" s="2" t="s">
        <v>7</v>
      </c>
      <c r="R3" s="2">
        <v>-72.0666732788086</v>
      </c>
      <c r="S3" s="5">
        <f>-175.460601806641+360</f>
        <v>184.5393982</v>
      </c>
      <c r="T3" s="3">
        <f t="shared" si="3"/>
        <v>42.92753923</v>
      </c>
      <c r="U3" s="4">
        <v>-64.7631881020286</v>
      </c>
      <c r="V3" s="4">
        <v>142.237711126154</v>
      </c>
      <c r="W3" s="8">
        <v>2.85720059881002</v>
      </c>
      <c r="X3" s="8">
        <v>7.36079637646944</v>
      </c>
    </row>
    <row r="4" ht="12.75" customHeight="1">
      <c r="A4" s="2"/>
      <c r="B4" s="2"/>
      <c r="C4" s="2"/>
      <c r="D4" s="7"/>
      <c r="E4" s="2"/>
      <c r="F4" s="2"/>
      <c r="G4" s="2" t="s">
        <v>8</v>
      </c>
      <c r="H4" s="2">
        <v>-47.2265510559082</v>
      </c>
      <c r="I4" s="2">
        <v>140.160064697266</v>
      </c>
      <c r="J4" s="7">
        <f t="shared" si="1"/>
        <v>17.65928236</v>
      </c>
      <c r="L4" s="2" t="s">
        <v>8</v>
      </c>
      <c r="M4" s="2">
        <v>-85.8677291870117</v>
      </c>
      <c r="N4" s="2">
        <v>80.6320190429688</v>
      </c>
      <c r="O4" s="3">
        <f t="shared" si="2"/>
        <v>65.12037278</v>
      </c>
      <c r="Q4" s="2" t="s">
        <v>8</v>
      </c>
      <c r="R4" s="2">
        <v>-51.6031265258789</v>
      </c>
      <c r="S4" s="2">
        <v>154.124618530273</v>
      </c>
      <c r="T4" s="3">
        <f t="shared" si="3"/>
        <v>17.73374716</v>
      </c>
      <c r="U4" s="4">
        <v>-64.7631881020286</v>
      </c>
      <c r="V4" s="4">
        <v>142.237711126154</v>
      </c>
    </row>
    <row r="5" ht="12.75" customHeight="1">
      <c r="A5" s="2"/>
      <c r="B5" s="2"/>
      <c r="C5" s="2"/>
      <c r="D5" s="7"/>
      <c r="E5" s="2"/>
      <c r="F5" s="2"/>
      <c r="G5" s="2" t="s">
        <v>20</v>
      </c>
      <c r="H5" s="2">
        <v>-61.5397033691406</v>
      </c>
      <c r="I5" s="2">
        <v>123.883934020996</v>
      </c>
      <c r="J5" s="7">
        <f t="shared" si="1"/>
        <v>18.63469849</v>
      </c>
      <c r="L5" s="2" t="s">
        <v>20</v>
      </c>
      <c r="M5" s="2">
        <v>-41.9530792236328</v>
      </c>
      <c r="N5" s="2">
        <v>-51.5519638061523</v>
      </c>
      <c r="O5" s="3">
        <f t="shared" si="2"/>
        <v>195.1274947</v>
      </c>
      <c r="P5" s="2"/>
      <c r="Q5" s="2" t="s">
        <v>20</v>
      </c>
      <c r="R5" s="2">
        <v>-62.9242057800293</v>
      </c>
      <c r="S5" s="2">
        <v>148.762161254883</v>
      </c>
      <c r="T5" s="3">
        <f t="shared" si="3"/>
        <v>6.778665463</v>
      </c>
      <c r="U5" s="4">
        <v>-64.7631881020286</v>
      </c>
      <c r="V5" s="4">
        <v>142.237711126154</v>
      </c>
    </row>
    <row r="6" ht="12.75" customHeight="1">
      <c r="A6" s="2"/>
      <c r="B6" s="2"/>
      <c r="C6" s="2"/>
      <c r="D6" s="7"/>
      <c r="E6" s="2"/>
      <c r="F6" s="2"/>
      <c r="G6" s="2" t="s">
        <v>7</v>
      </c>
      <c r="H6" s="2">
        <v>-83.3435287475586</v>
      </c>
      <c r="I6" s="5">
        <f>-160.699630737305+360</f>
        <v>199.3003693</v>
      </c>
      <c r="J6" s="7">
        <f t="shared" si="1"/>
        <v>60.01146567</v>
      </c>
      <c r="L6" s="2" t="s">
        <v>7</v>
      </c>
      <c r="M6" s="2">
        <v>54.8298606872559</v>
      </c>
      <c r="N6" s="5">
        <f>-162.453979492188+360</f>
        <v>197.5460205</v>
      </c>
      <c r="O6" s="3">
        <f t="shared" si="2"/>
        <v>131.7630692</v>
      </c>
      <c r="P6" s="2"/>
      <c r="Q6" s="2" t="s">
        <v>7</v>
      </c>
      <c r="R6" s="2">
        <v>46.4651527404785</v>
      </c>
      <c r="S6" s="5">
        <f>-150.101608276367+360</f>
        <v>209.8983917</v>
      </c>
      <c r="T6" s="3">
        <f t="shared" si="3"/>
        <v>130.1910577</v>
      </c>
      <c r="U6" s="4">
        <v>-64.7631881020286</v>
      </c>
      <c r="V6" s="4">
        <v>142.237711126154</v>
      </c>
    </row>
    <row r="7" ht="12.75" customHeight="1">
      <c r="A7" s="2"/>
      <c r="B7" s="2"/>
      <c r="C7" s="2"/>
      <c r="D7" s="7"/>
      <c r="E7" s="2"/>
      <c r="F7" s="2"/>
      <c r="G7" s="2" t="s">
        <v>8</v>
      </c>
      <c r="H7" s="2">
        <v>-46.3969993591309</v>
      </c>
      <c r="I7" s="2">
        <v>149.181762695313</v>
      </c>
      <c r="J7" s="7">
        <f t="shared" si="1"/>
        <v>19.63508954</v>
      </c>
      <c r="L7" s="2" t="s">
        <v>8</v>
      </c>
      <c r="M7" s="2">
        <v>-31.7324695587158</v>
      </c>
      <c r="N7" s="2">
        <v>142.291244506836</v>
      </c>
      <c r="O7" s="3">
        <f t="shared" si="2"/>
        <v>33.03076192</v>
      </c>
      <c r="P7" s="2"/>
      <c r="Q7" s="2" t="s">
        <v>8</v>
      </c>
      <c r="R7" s="2">
        <v>-39.4052886962891</v>
      </c>
      <c r="S7" s="2">
        <v>144.346694946289</v>
      </c>
      <c r="T7" s="3">
        <f t="shared" si="3"/>
        <v>25.445449</v>
      </c>
      <c r="U7" s="4">
        <v>-64.7631881020286</v>
      </c>
      <c r="V7" s="4">
        <v>142.237711126154</v>
      </c>
    </row>
    <row r="8" ht="12.75" customHeight="1">
      <c r="A8" s="2"/>
      <c r="B8" s="2"/>
      <c r="C8" s="2"/>
      <c r="D8" s="7"/>
      <c r="E8" s="2"/>
      <c r="F8" s="2"/>
      <c r="G8" s="2" t="s">
        <v>20</v>
      </c>
      <c r="H8" s="2">
        <v>-77.9985656738281</v>
      </c>
      <c r="I8" s="2">
        <v>150.396438598633</v>
      </c>
      <c r="J8" s="7">
        <f t="shared" si="1"/>
        <v>15.54799194</v>
      </c>
      <c r="L8" s="2" t="s">
        <v>20</v>
      </c>
      <c r="M8" s="2">
        <v>-73.0214385986328</v>
      </c>
      <c r="N8" s="2">
        <v>161.316513061523</v>
      </c>
      <c r="O8" s="3">
        <f t="shared" si="2"/>
        <v>20.78940558</v>
      </c>
      <c r="P8" s="2"/>
      <c r="Q8" s="2" t="s">
        <v>20</v>
      </c>
      <c r="R8" s="2">
        <v>-43.3206977844238</v>
      </c>
      <c r="S8" s="2">
        <v>138.087387084961</v>
      </c>
      <c r="T8" s="3">
        <f t="shared" si="3"/>
        <v>21.84045743</v>
      </c>
      <c r="U8" s="4">
        <v>-64.7631881020286</v>
      </c>
      <c r="V8" s="4">
        <v>142.237711126154</v>
      </c>
    </row>
    <row r="9" ht="12.75" customHeight="1">
      <c r="A9" s="2"/>
      <c r="B9" s="2"/>
      <c r="C9" s="2"/>
      <c r="D9" s="7"/>
      <c r="E9" s="2"/>
      <c r="F9" s="2"/>
      <c r="G9" s="2" t="s">
        <v>7</v>
      </c>
      <c r="H9" s="2">
        <v>-67.3892135620117</v>
      </c>
      <c r="I9" s="2">
        <v>170.739303588867</v>
      </c>
      <c r="J9" s="7">
        <f t="shared" si="1"/>
        <v>28.62231267</v>
      </c>
      <c r="L9" s="2" t="s">
        <v>7</v>
      </c>
      <c r="M9" s="2">
        <v>-36.3389282226562</v>
      </c>
      <c r="N9" s="2">
        <v>158.305404663086</v>
      </c>
      <c r="O9" s="3">
        <f t="shared" si="2"/>
        <v>32.65132961</v>
      </c>
      <c r="P9" s="2"/>
      <c r="Q9" s="2" t="s">
        <v>7</v>
      </c>
      <c r="R9" s="2">
        <v>-55.4863929748535</v>
      </c>
      <c r="S9" s="2">
        <v>159.508529663086</v>
      </c>
      <c r="T9" s="3">
        <f t="shared" si="3"/>
        <v>19.60459387</v>
      </c>
      <c r="U9" s="4">
        <v>-64.7631881020286</v>
      </c>
      <c r="V9" s="4">
        <v>142.237711126154</v>
      </c>
    </row>
    <row r="10" ht="12.75" customHeight="1">
      <c r="A10" s="2"/>
      <c r="B10" s="2"/>
      <c r="C10" s="2"/>
      <c r="D10" s="7"/>
      <c r="E10" s="2"/>
      <c r="F10" s="2"/>
      <c r="G10" s="2" t="s">
        <v>8</v>
      </c>
      <c r="H10" s="2">
        <v>-64.5702667236328</v>
      </c>
      <c r="I10" s="2">
        <v>146.391983032227</v>
      </c>
      <c r="J10" s="7">
        <f t="shared" si="1"/>
        <v>4.158749058</v>
      </c>
      <c r="L10" s="2" t="s">
        <v>8</v>
      </c>
      <c r="M10" s="2">
        <v>-37.2694206237793</v>
      </c>
      <c r="N10" s="2">
        <v>137.668334960938</v>
      </c>
      <c r="O10" s="3">
        <f t="shared" si="2"/>
        <v>27.87088891</v>
      </c>
      <c r="P10" s="2"/>
      <c r="Q10" s="2" t="s">
        <v>8</v>
      </c>
      <c r="R10" s="2">
        <v>-55.8536415100098</v>
      </c>
      <c r="S10" s="2">
        <v>145.628463745117</v>
      </c>
      <c r="T10" s="3">
        <f t="shared" si="3"/>
        <v>9.532954621</v>
      </c>
      <c r="U10" s="4">
        <v>-64.7631881020286</v>
      </c>
      <c r="V10" s="4">
        <v>142.237711126154</v>
      </c>
    </row>
    <row r="11" ht="12.75" customHeight="1">
      <c r="A11" s="2"/>
      <c r="B11" s="2"/>
      <c r="C11" s="2"/>
      <c r="D11" s="7"/>
      <c r="E11" s="2"/>
      <c r="F11" s="2"/>
      <c r="G11" s="2" t="s">
        <v>20</v>
      </c>
      <c r="H11" s="2">
        <v>-49.6765022277832</v>
      </c>
      <c r="I11" s="2">
        <v>144.789794921875</v>
      </c>
      <c r="J11" s="7">
        <f t="shared" si="1"/>
        <v>15.3010203</v>
      </c>
      <c r="L11" s="2" t="s">
        <v>20</v>
      </c>
      <c r="M11" s="2">
        <v>-64.4315567016602</v>
      </c>
      <c r="N11" s="2">
        <v>132.093292236328</v>
      </c>
      <c r="O11" s="3">
        <f t="shared" si="2"/>
        <v>10.14983813</v>
      </c>
      <c r="P11" s="2"/>
      <c r="Q11" s="2" t="s">
        <v>20</v>
      </c>
      <c r="R11" s="2">
        <v>-63.1183204650879</v>
      </c>
      <c r="S11" s="2">
        <v>124.111221313477</v>
      </c>
      <c r="T11" s="3">
        <f t="shared" si="3"/>
        <v>18.20096762</v>
      </c>
      <c r="U11" s="4">
        <v>-64.7631881020286</v>
      </c>
      <c r="V11" s="4">
        <v>142.237711126154</v>
      </c>
    </row>
    <row r="12" ht="12.75" customHeight="1">
      <c r="A12" s="2"/>
      <c r="B12" s="2"/>
      <c r="C12" s="2"/>
      <c r="D12" s="7"/>
      <c r="E12" s="2"/>
      <c r="F12" s="2"/>
      <c r="G12" s="2" t="s">
        <v>7</v>
      </c>
      <c r="H12" s="2">
        <v>-81.9807281494141</v>
      </c>
      <c r="I12" s="2">
        <v>173.152069091797</v>
      </c>
      <c r="J12" s="7">
        <f t="shared" si="1"/>
        <v>35.38560744</v>
      </c>
      <c r="L12" s="2" t="s">
        <v>7</v>
      </c>
      <c r="M12" s="2">
        <v>-52.3572425842285</v>
      </c>
      <c r="N12" s="2">
        <v>163.443161010742</v>
      </c>
      <c r="O12" s="3">
        <f t="shared" si="2"/>
        <v>24.56783647</v>
      </c>
      <c r="P12" s="2"/>
      <c r="Q12" s="2" t="s">
        <v>7</v>
      </c>
      <c r="R12" s="2">
        <v>-36.8418350219727</v>
      </c>
      <c r="S12" s="2">
        <v>148.511367797852</v>
      </c>
      <c r="T12" s="3">
        <f t="shared" si="3"/>
        <v>28.61748986</v>
      </c>
      <c r="U12" s="4">
        <v>-64.7631881020286</v>
      </c>
      <c r="V12" s="4">
        <v>142.237711126154</v>
      </c>
    </row>
    <row r="13" ht="12.75" customHeight="1">
      <c r="A13" s="2"/>
      <c r="B13" s="2"/>
      <c r="C13" s="2"/>
      <c r="D13" s="7"/>
      <c r="E13" s="2"/>
      <c r="F13" s="2"/>
      <c r="G13" s="2" t="s">
        <v>8</v>
      </c>
      <c r="H13" s="2">
        <v>-58.8464508056641</v>
      </c>
      <c r="I13" s="2">
        <v>146.351745605469</v>
      </c>
      <c r="J13" s="7">
        <f t="shared" si="1"/>
        <v>7.206459598</v>
      </c>
      <c r="L13" s="2" t="s">
        <v>8</v>
      </c>
      <c r="M13" s="2">
        <v>-37.4724006652832</v>
      </c>
      <c r="N13" s="2">
        <v>140.397735595703</v>
      </c>
      <c r="O13" s="3">
        <f t="shared" si="2"/>
        <v>27.35274372</v>
      </c>
      <c r="P13" s="2"/>
      <c r="Q13" s="2" t="s">
        <v>8</v>
      </c>
      <c r="R13" s="2">
        <v>-59.0839767456055</v>
      </c>
      <c r="S13" s="2">
        <v>139.29167175293</v>
      </c>
      <c r="T13" s="3">
        <f t="shared" si="3"/>
        <v>6.397858206</v>
      </c>
      <c r="U13" s="4">
        <v>-64.7631881020286</v>
      </c>
      <c r="V13" s="4">
        <v>142.237711126154</v>
      </c>
    </row>
    <row r="14" ht="12.75" customHeight="1">
      <c r="A14" s="2"/>
      <c r="B14" s="2"/>
      <c r="C14" s="2"/>
      <c r="D14" s="7"/>
      <c r="E14" s="2"/>
      <c r="F14" s="2"/>
      <c r="G14" s="2" t="s">
        <v>20</v>
      </c>
      <c r="H14" s="2">
        <v>-59.0888824462891</v>
      </c>
      <c r="I14" s="2">
        <v>133.035217285156</v>
      </c>
      <c r="J14" s="7">
        <f t="shared" si="1"/>
        <v>10.81127363</v>
      </c>
      <c r="L14" s="2" t="s">
        <v>20</v>
      </c>
      <c r="M14" s="2">
        <v>-66.9145736694336</v>
      </c>
      <c r="N14" s="2">
        <v>138.777435302734</v>
      </c>
      <c r="O14" s="3">
        <f t="shared" si="2"/>
        <v>4.074551341</v>
      </c>
      <c r="P14" s="2"/>
      <c r="Q14" s="2" t="s">
        <v>20</v>
      </c>
      <c r="R14" s="2">
        <v>-55.5487403869629</v>
      </c>
      <c r="S14" s="2">
        <v>143.931015014648</v>
      </c>
      <c r="T14" s="3">
        <f t="shared" si="3"/>
        <v>9.368741898</v>
      </c>
      <c r="U14" s="4">
        <v>-64.7631881020286</v>
      </c>
      <c r="V14" s="4">
        <v>142.237711126154</v>
      </c>
    </row>
    <row r="15" ht="12.75" customHeight="1">
      <c r="A15" s="2"/>
      <c r="B15" s="2"/>
      <c r="C15" s="2"/>
      <c r="D15" s="7"/>
      <c r="E15" s="2"/>
      <c r="F15" s="2"/>
      <c r="G15" s="2" t="s">
        <v>7</v>
      </c>
      <c r="H15" s="2">
        <v>-48.8600921630859</v>
      </c>
      <c r="I15" s="2">
        <v>165.568725585938</v>
      </c>
      <c r="J15" s="7">
        <f t="shared" si="1"/>
        <v>28.23552189</v>
      </c>
      <c r="L15" s="2" t="s">
        <v>7</v>
      </c>
      <c r="M15" s="2">
        <v>-42.7338600158691</v>
      </c>
      <c r="N15" s="2">
        <v>151.478378295898</v>
      </c>
      <c r="O15" s="3">
        <f t="shared" si="2"/>
        <v>23.88893521</v>
      </c>
      <c r="P15" s="2"/>
      <c r="Q15" s="2" t="s">
        <v>7</v>
      </c>
      <c r="R15" s="2">
        <v>-48.0073127746582</v>
      </c>
      <c r="S15" s="2">
        <v>173.987640380859</v>
      </c>
      <c r="T15" s="3">
        <f t="shared" si="3"/>
        <v>35.90010259</v>
      </c>
      <c r="U15" s="4">
        <v>-64.7631881020286</v>
      </c>
      <c r="V15" s="4">
        <v>142.237711126154</v>
      </c>
    </row>
    <row r="16" ht="12.75" customHeight="1">
      <c r="A16" s="2"/>
      <c r="B16" s="2"/>
      <c r="C16" s="2"/>
      <c r="D16" s="7"/>
      <c r="E16" s="2"/>
      <c r="F16" s="2"/>
      <c r="G16" s="2" t="s">
        <v>8</v>
      </c>
      <c r="H16" s="2">
        <v>-61.7018661499023</v>
      </c>
      <c r="I16" s="2">
        <v>165.851760864258</v>
      </c>
      <c r="J16" s="7">
        <f t="shared" si="1"/>
        <v>23.81165759</v>
      </c>
      <c r="L16" s="2" t="s">
        <v>8</v>
      </c>
      <c r="M16" s="2">
        <v>-90.5041275024414</v>
      </c>
      <c r="N16" s="2">
        <v>166.346389770508</v>
      </c>
      <c r="O16" s="3">
        <f t="shared" si="2"/>
        <v>35.267894</v>
      </c>
      <c r="P16" s="2"/>
      <c r="Q16" s="2" t="s">
        <v>8</v>
      </c>
      <c r="R16" s="2">
        <v>-84.1261901855469</v>
      </c>
      <c r="S16" s="2">
        <v>160.531646728516</v>
      </c>
      <c r="T16" s="3">
        <f t="shared" si="3"/>
        <v>26.63820432</v>
      </c>
      <c r="U16" s="4">
        <v>-64.7631881020286</v>
      </c>
      <c r="V16" s="4">
        <v>142.237711126154</v>
      </c>
    </row>
    <row r="17" ht="12.75" customHeight="1">
      <c r="A17" s="2"/>
      <c r="B17" s="2"/>
      <c r="C17" s="2"/>
      <c r="D17" s="7"/>
      <c r="E17" s="2"/>
      <c r="F17" s="2"/>
      <c r="G17" s="2" t="s">
        <v>21</v>
      </c>
      <c r="H17" s="2">
        <v>-48.9954566955566</v>
      </c>
      <c r="I17" s="2">
        <v>148.079620361328</v>
      </c>
      <c r="J17" s="7">
        <f t="shared" si="1"/>
        <v>16.81514963</v>
      </c>
      <c r="L17" s="2" t="s">
        <v>21</v>
      </c>
      <c r="M17" s="2">
        <v>-44.0552024841309</v>
      </c>
      <c r="N17" s="2">
        <v>135.207229614258</v>
      </c>
      <c r="O17" s="3">
        <f t="shared" si="2"/>
        <v>21.86888974</v>
      </c>
      <c r="P17" s="2"/>
      <c r="Q17" s="2" t="s">
        <v>21</v>
      </c>
      <c r="R17" s="2">
        <v>-33.3183555603027</v>
      </c>
      <c r="S17" s="2">
        <v>137.018310546875</v>
      </c>
      <c r="T17" s="3">
        <f t="shared" si="3"/>
        <v>31.87506292</v>
      </c>
      <c r="U17" s="4">
        <v>-64.7631881020286</v>
      </c>
      <c r="V17" s="4">
        <v>142.237711126154</v>
      </c>
    </row>
    <row r="18" ht="12.75" customHeight="1">
      <c r="A18" s="2"/>
      <c r="B18" s="2"/>
      <c r="C18" s="2"/>
      <c r="D18" s="7"/>
      <c r="E18" s="2"/>
      <c r="F18" s="2"/>
      <c r="G18" s="2" t="s">
        <v>7</v>
      </c>
      <c r="H18" s="2">
        <v>-62.6878128051758</v>
      </c>
      <c r="I18" s="2">
        <v>174.082489013672</v>
      </c>
      <c r="J18" s="7">
        <f t="shared" si="1"/>
        <v>31.912334</v>
      </c>
      <c r="L18" s="2" t="s">
        <v>7</v>
      </c>
      <c r="M18" s="2">
        <v>-69.2135009765625</v>
      </c>
      <c r="N18" s="5">
        <f>-173.120330810547+360</f>
        <v>186.8796692</v>
      </c>
      <c r="O18" s="3">
        <f t="shared" si="2"/>
        <v>44.86323333</v>
      </c>
      <c r="P18" s="2"/>
      <c r="Q18" s="2" t="s">
        <v>7</v>
      </c>
      <c r="R18" s="2">
        <v>-65.9767608642578</v>
      </c>
      <c r="S18" s="2">
        <v>177.081481933594</v>
      </c>
      <c r="T18" s="3">
        <f t="shared" si="3"/>
        <v>34.86489815</v>
      </c>
      <c r="U18" s="4">
        <v>-64.7631881020286</v>
      </c>
      <c r="V18" s="4">
        <v>142.237711126154</v>
      </c>
    </row>
    <row r="19" ht="12.75" customHeight="1">
      <c r="A19" s="2"/>
      <c r="B19" s="2"/>
      <c r="C19" s="2"/>
      <c r="D19" s="7"/>
      <c r="E19" s="2"/>
      <c r="F19" s="2"/>
      <c r="G19" s="2" t="s">
        <v>8</v>
      </c>
      <c r="H19" s="2">
        <v>-54.3479843139648</v>
      </c>
      <c r="I19" s="2">
        <v>154.703369140625</v>
      </c>
      <c r="J19" s="7">
        <f t="shared" si="1"/>
        <v>16.24404813</v>
      </c>
      <c r="L19" s="2" t="s">
        <v>8</v>
      </c>
      <c r="M19" s="2">
        <v>-56.1546363830566</v>
      </c>
      <c r="N19" s="2">
        <v>152.819946289063</v>
      </c>
      <c r="O19" s="3">
        <f t="shared" si="2"/>
        <v>13.64151252</v>
      </c>
      <c r="P19" s="2"/>
      <c r="Q19" s="2" t="s">
        <v>8</v>
      </c>
      <c r="R19" s="2">
        <v>-59.1685028076172</v>
      </c>
      <c r="S19" s="2">
        <v>144.020141601563</v>
      </c>
      <c r="T19" s="3">
        <f t="shared" si="3"/>
        <v>5.871759697</v>
      </c>
      <c r="U19" s="4">
        <v>-64.7631881020286</v>
      </c>
      <c r="V19" s="4">
        <v>142.237711126154</v>
      </c>
    </row>
    <row r="20" ht="12.75" customHeight="1">
      <c r="A20" s="2"/>
      <c r="B20" s="2"/>
      <c r="C20" s="2"/>
      <c r="D20" s="7"/>
      <c r="E20" s="2"/>
      <c r="F20" s="2"/>
      <c r="G20" s="2" t="s">
        <v>21</v>
      </c>
      <c r="H20" s="2">
        <v>-52.8365249633789</v>
      </c>
      <c r="I20" s="2">
        <v>143.099090576172</v>
      </c>
      <c r="J20" s="7">
        <f t="shared" si="1"/>
        <v>11.95772839</v>
      </c>
      <c r="L20" s="2" t="s">
        <v>21</v>
      </c>
      <c r="M20" s="2">
        <v>-34.8814392089844</v>
      </c>
      <c r="N20" s="2">
        <v>125.986610412598</v>
      </c>
      <c r="O20" s="3">
        <f t="shared" si="2"/>
        <v>34.01495541</v>
      </c>
      <c r="P20" s="2"/>
      <c r="Q20" s="2" t="s">
        <v>21</v>
      </c>
      <c r="R20" s="2">
        <v>-51.5981597900391</v>
      </c>
      <c r="S20" s="2">
        <v>134.797119140625</v>
      </c>
      <c r="T20" s="3">
        <f t="shared" si="3"/>
        <v>15.12218171</v>
      </c>
      <c r="U20" s="4">
        <v>-64.7631881020286</v>
      </c>
      <c r="V20" s="4">
        <v>142.237711126154</v>
      </c>
    </row>
    <row r="21" ht="12.75" customHeight="1">
      <c r="A21" s="2"/>
      <c r="B21" s="2"/>
      <c r="C21" s="2"/>
      <c r="D21" s="7"/>
      <c r="E21" s="2"/>
      <c r="F21" s="2"/>
      <c r="G21" s="2" t="s">
        <v>7</v>
      </c>
      <c r="H21" s="2">
        <v>-60.9334030151367</v>
      </c>
      <c r="I21" s="5">
        <f>-176.895645141602+360</f>
        <v>183.1043549</v>
      </c>
      <c r="J21" s="7">
        <f t="shared" si="1"/>
        <v>41.04570408</v>
      </c>
      <c r="L21" s="2" t="s">
        <v>7</v>
      </c>
      <c r="M21" s="2">
        <v>-62.2446823120117</v>
      </c>
      <c r="N21" s="5">
        <f>-178.174209594727+360</f>
        <v>181.8257904</v>
      </c>
      <c r="O21" s="3">
        <f t="shared" si="2"/>
        <v>39.66810926</v>
      </c>
      <c r="P21" s="2"/>
      <c r="Q21" s="2" t="s">
        <v>7</v>
      </c>
      <c r="R21" s="2">
        <v>-63.0115432739258</v>
      </c>
      <c r="S21" s="5">
        <f>-178.369537353516+360</f>
        <v>181.6304626</v>
      </c>
      <c r="T21" s="3">
        <f t="shared" si="3"/>
        <v>39.43167676</v>
      </c>
      <c r="U21" s="4">
        <v>-64.7631881020286</v>
      </c>
      <c r="V21" s="4">
        <v>142.237711126154</v>
      </c>
    </row>
    <row r="22" ht="12.75" customHeight="1">
      <c r="A22" s="2"/>
      <c r="B22" s="2"/>
      <c r="C22" s="2"/>
      <c r="D22" s="7"/>
      <c r="E22" s="2"/>
      <c r="F22" s="2"/>
      <c r="G22" s="2" t="s">
        <v>8</v>
      </c>
      <c r="H22" s="2">
        <v>-44.0563049316406</v>
      </c>
      <c r="I22" s="2">
        <v>150.931701660156</v>
      </c>
      <c r="J22" s="7">
        <f t="shared" si="1"/>
        <v>22.45797146</v>
      </c>
      <c r="L22" s="2" t="s">
        <v>8</v>
      </c>
      <c r="M22" s="2">
        <v>-51.6830596923828</v>
      </c>
      <c r="N22" s="2">
        <v>157.771499633789</v>
      </c>
      <c r="O22" s="3">
        <f t="shared" si="2"/>
        <v>20.30734706</v>
      </c>
      <c r="P22" s="2"/>
      <c r="Q22" s="2" t="s">
        <v>8</v>
      </c>
      <c r="R22" s="2">
        <v>-62.5944519042969</v>
      </c>
      <c r="S22" s="2">
        <v>149.343536376953</v>
      </c>
      <c r="T22" s="3">
        <f t="shared" si="3"/>
        <v>7.429412439</v>
      </c>
      <c r="U22" s="4">
        <v>-64.7631881020286</v>
      </c>
      <c r="V22" s="4">
        <v>142.237711126154</v>
      </c>
    </row>
    <row r="23" ht="12.75" customHeight="1">
      <c r="A23" s="2"/>
      <c r="B23" s="2"/>
      <c r="C23" s="2"/>
      <c r="D23" s="7"/>
      <c r="E23" s="2"/>
      <c r="F23" s="2"/>
      <c r="G23" s="2" t="s">
        <v>21</v>
      </c>
      <c r="H23" s="2">
        <v>-50.8064575195313</v>
      </c>
      <c r="I23" s="2">
        <v>127.864791870117</v>
      </c>
      <c r="J23" s="7">
        <f t="shared" si="1"/>
        <v>20.03424909</v>
      </c>
      <c r="L23" s="2" t="s">
        <v>21</v>
      </c>
      <c r="M23" s="2">
        <v>-54.8914222717285</v>
      </c>
      <c r="N23" s="2">
        <v>137.431610107422</v>
      </c>
      <c r="O23" s="3">
        <f t="shared" si="2"/>
        <v>10.97954314</v>
      </c>
      <c r="P23" s="2"/>
      <c r="Q23" s="2" t="s">
        <v>21</v>
      </c>
      <c r="R23" s="2">
        <v>-38.9686279296875</v>
      </c>
      <c r="S23" s="2">
        <v>127.589179992676</v>
      </c>
      <c r="T23" s="3">
        <f t="shared" si="3"/>
        <v>29.66376239</v>
      </c>
      <c r="U23" s="4">
        <v>-64.7631881020286</v>
      </c>
      <c r="V23" s="4">
        <v>142.237711126154</v>
      </c>
    </row>
    <row r="24" ht="12.75" customHeight="1">
      <c r="A24" s="2"/>
      <c r="B24" s="2"/>
      <c r="C24" s="2"/>
      <c r="D24" s="7"/>
      <c r="E24" s="2"/>
      <c r="F24" s="2"/>
      <c r="G24" s="2" t="s">
        <v>7</v>
      </c>
      <c r="H24" s="2">
        <v>-70.9734878540039</v>
      </c>
      <c r="I24" s="5">
        <f>-172.362014770508+360</f>
        <v>187.6379852</v>
      </c>
      <c r="J24" s="7">
        <f t="shared" si="1"/>
        <v>45.82305873</v>
      </c>
      <c r="L24" s="2" t="s">
        <v>7</v>
      </c>
      <c r="M24" s="2">
        <v>-70.1963577270508</v>
      </c>
      <c r="N24" s="5">
        <f>-170.482223510742+360</f>
        <v>189.5177765</v>
      </c>
      <c r="O24" s="3">
        <f t="shared" si="2"/>
        <v>47.59121676</v>
      </c>
      <c r="P24" s="2"/>
      <c r="Q24" s="2" t="s">
        <v>7</v>
      </c>
      <c r="R24" s="2">
        <v>-52.2252159118652</v>
      </c>
      <c r="S24" s="2">
        <v>179.441970825195</v>
      </c>
      <c r="T24" s="3">
        <f t="shared" si="3"/>
        <v>39.26012846</v>
      </c>
      <c r="U24" s="4">
        <v>-64.7631881020286</v>
      </c>
      <c r="V24" s="4">
        <v>142.237711126154</v>
      </c>
    </row>
    <row r="25" ht="12.75" customHeight="1">
      <c r="A25" s="2"/>
      <c r="B25" s="2"/>
      <c r="C25" s="2"/>
      <c r="D25" s="7"/>
      <c r="E25" s="2"/>
      <c r="F25" s="2"/>
      <c r="G25" s="2" t="s">
        <v>8</v>
      </c>
      <c r="H25" s="2">
        <v>-93.7514724731445</v>
      </c>
      <c r="I25" s="2">
        <v>161.615234375</v>
      </c>
      <c r="J25" s="7">
        <f t="shared" si="1"/>
        <v>34.86845334</v>
      </c>
      <c r="L25" s="2" t="s">
        <v>8</v>
      </c>
      <c r="M25" s="2">
        <v>-40.8020324707031</v>
      </c>
      <c r="N25" s="2">
        <v>140.992279052734</v>
      </c>
      <c r="O25" s="3">
        <f t="shared" si="2"/>
        <v>23.99350079</v>
      </c>
      <c r="P25" s="2"/>
      <c r="Q25" s="2" t="s">
        <v>8</v>
      </c>
      <c r="R25" s="2">
        <v>-53.8878059387207</v>
      </c>
      <c r="S25" s="2">
        <v>164.340805053711</v>
      </c>
      <c r="T25" s="3">
        <f t="shared" si="3"/>
        <v>24.63373091</v>
      </c>
      <c r="U25" s="4">
        <v>-64.7631881020286</v>
      </c>
      <c r="V25" s="4">
        <v>142.237711126154</v>
      </c>
    </row>
    <row r="26" ht="12.75" customHeight="1">
      <c r="A26" s="2"/>
      <c r="B26" s="2"/>
      <c r="C26" s="2"/>
      <c r="D26" s="7"/>
      <c r="E26" s="2"/>
      <c r="F26" s="2"/>
      <c r="G26" s="2" t="s">
        <v>21</v>
      </c>
      <c r="H26" s="2">
        <v>-50.8217391967773</v>
      </c>
      <c r="I26" s="2">
        <v>141.989547729492</v>
      </c>
      <c r="J26" s="7">
        <f t="shared" si="1"/>
        <v>13.94365743</v>
      </c>
      <c r="L26" s="2" t="s">
        <v>21</v>
      </c>
      <c r="M26" s="2">
        <v>-40.7645874023438</v>
      </c>
      <c r="N26" s="2">
        <v>152.202835083008</v>
      </c>
      <c r="O26" s="3">
        <f t="shared" si="2"/>
        <v>25.98531376</v>
      </c>
      <c r="P26" s="2"/>
      <c r="Q26" s="2" t="s">
        <v>21</v>
      </c>
      <c r="R26" s="2">
        <v>-46.7894401550293</v>
      </c>
      <c r="S26" s="2">
        <v>144.861953735352</v>
      </c>
      <c r="T26" s="3">
        <f t="shared" si="3"/>
        <v>18.16431294</v>
      </c>
      <c r="U26" s="4">
        <v>-64.7631881020286</v>
      </c>
      <c r="V26" s="4">
        <v>142.237711126154</v>
      </c>
    </row>
    <row r="27" ht="12.75" customHeight="1">
      <c r="A27" s="2"/>
      <c r="B27" s="2"/>
      <c r="C27" s="2"/>
      <c r="D27" s="7"/>
      <c r="E27" s="2"/>
      <c r="F27" s="2"/>
      <c r="G27" s="2" t="s">
        <v>7</v>
      </c>
      <c r="H27" s="2">
        <v>-67.5934524536133</v>
      </c>
      <c r="I27" s="2">
        <v>168.874359130859</v>
      </c>
      <c r="J27" s="7">
        <f t="shared" si="1"/>
        <v>26.78659018</v>
      </c>
      <c r="L27" s="2" t="s">
        <v>7</v>
      </c>
      <c r="M27" s="2">
        <v>-70.9642028808594</v>
      </c>
      <c r="N27" s="5">
        <f>-178.462921142578+360</f>
        <v>181.5370789</v>
      </c>
      <c r="O27" s="3">
        <f t="shared" si="2"/>
        <v>39.78558644</v>
      </c>
      <c r="P27" s="2"/>
      <c r="Q27" s="2" t="s">
        <v>7</v>
      </c>
      <c r="R27" s="2">
        <v>-61.8511810302734</v>
      </c>
      <c r="S27" s="2">
        <v>159.555099487305</v>
      </c>
      <c r="T27" s="3">
        <f t="shared" si="3"/>
        <v>17.56051608</v>
      </c>
      <c r="U27" s="4">
        <v>-64.7631881020286</v>
      </c>
      <c r="V27" s="4">
        <v>142.237711126154</v>
      </c>
    </row>
    <row r="28" ht="12.75" customHeight="1">
      <c r="A28" s="2"/>
      <c r="B28" s="2"/>
      <c r="C28" s="2"/>
      <c r="D28" s="7"/>
      <c r="E28" s="2"/>
      <c r="F28" s="2"/>
      <c r="G28" s="2" t="s">
        <v>15</v>
      </c>
      <c r="H28" s="2">
        <v>-64.1683578491211</v>
      </c>
      <c r="I28" s="2">
        <v>145.153839111328</v>
      </c>
      <c r="J28" s="7">
        <f t="shared" si="1"/>
        <v>2.976176315</v>
      </c>
      <c r="L28" s="2" t="s">
        <v>15</v>
      </c>
      <c r="M28" s="2">
        <v>-63.411735534668</v>
      </c>
      <c r="N28" s="2">
        <v>132.930160522461</v>
      </c>
      <c r="O28" s="3">
        <f t="shared" si="2"/>
        <v>9.405154028</v>
      </c>
      <c r="P28" s="2"/>
      <c r="Q28" s="2" t="s">
        <v>15</v>
      </c>
      <c r="R28" s="2">
        <v>-63.853759765625</v>
      </c>
      <c r="S28" s="2">
        <v>149.640808105469</v>
      </c>
      <c r="T28" s="3">
        <f t="shared" si="3"/>
        <v>7.458746864</v>
      </c>
      <c r="U28" s="4">
        <v>-64.7631881020286</v>
      </c>
      <c r="V28" s="4">
        <v>142.237711126154</v>
      </c>
    </row>
    <row r="29" ht="12.75" customHeight="1">
      <c r="A29" s="2"/>
      <c r="B29" s="2"/>
      <c r="C29" s="2"/>
      <c r="D29" s="7"/>
      <c r="E29" s="2"/>
      <c r="F29" s="2"/>
      <c r="G29" s="2" t="s">
        <v>21</v>
      </c>
      <c r="H29" s="2">
        <v>-51.2474708557129</v>
      </c>
      <c r="I29" s="2">
        <v>137.797134399414</v>
      </c>
      <c r="J29" s="7">
        <f t="shared" si="1"/>
        <v>14.22650113</v>
      </c>
      <c r="L29" s="2" t="s">
        <v>21</v>
      </c>
      <c r="M29" s="2">
        <v>-42.0032730102539</v>
      </c>
      <c r="N29" s="2">
        <v>138.925506591797</v>
      </c>
      <c r="O29" s="3">
        <f t="shared" si="2"/>
        <v>22.9996616</v>
      </c>
      <c r="P29" s="2"/>
      <c r="Q29" s="2" t="s">
        <v>21</v>
      </c>
      <c r="R29" s="2">
        <v>-39.2769813537598</v>
      </c>
      <c r="S29" s="2">
        <v>134.2060546875</v>
      </c>
      <c r="T29" s="3">
        <f t="shared" si="3"/>
        <v>26.72179334</v>
      </c>
      <c r="U29" s="4">
        <v>-64.7631881020286</v>
      </c>
      <c r="V29" s="4">
        <v>142.237711126154</v>
      </c>
    </row>
    <row r="30" ht="12.75" customHeight="1">
      <c r="A30" s="2"/>
      <c r="B30" s="2"/>
      <c r="C30" s="2"/>
      <c r="D30" s="7"/>
      <c r="E30" s="2"/>
      <c r="F30" s="2"/>
      <c r="G30" s="2" t="s">
        <v>7</v>
      </c>
      <c r="H30" s="2">
        <v>-78.6334991455078</v>
      </c>
      <c r="I30" s="2">
        <v>168.794692993164</v>
      </c>
      <c r="J30" s="7">
        <f t="shared" si="1"/>
        <v>29.96095483</v>
      </c>
      <c r="L30" s="2" t="s">
        <v>7</v>
      </c>
      <c r="M30" s="2">
        <v>-74.4729080200195</v>
      </c>
      <c r="N30" s="5">
        <f>-168.050521850586+360</f>
        <v>191.9494781</v>
      </c>
      <c r="O30" s="3">
        <f t="shared" si="2"/>
        <v>50.65114452</v>
      </c>
      <c r="P30" s="2"/>
      <c r="Q30" s="2" t="s">
        <v>7</v>
      </c>
      <c r="R30" s="2">
        <v>-61.2596054077148</v>
      </c>
      <c r="S30" s="2">
        <v>178.332504272461</v>
      </c>
      <c r="T30" s="3">
        <f t="shared" si="3"/>
        <v>36.26443415</v>
      </c>
      <c r="U30" s="4">
        <v>-64.7631881020286</v>
      </c>
      <c r="V30" s="4">
        <v>142.237711126154</v>
      </c>
    </row>
    <row r="31" ht="12.75" customHeight="1">
      <c r="A31" s="2"/>
      <c r="B31" s="2"/>
      <c r="C31" s="2"/>
      <c r="D31" s="7"/>
      <c r="E31" s="2"/>
      <c r="F31" s="2"/>
      <c r="G31" s="2" t="s">
        <v>15</v>
      </c>
      <c r="H31" s="2">
        <v>-55.2632904052734</v>
      </c>
      <c r="I31" s="2">
        <v>140.356063842773</v>
      </c>
      <c r="J31" s="7">
        <f t="shared" si="1"/>
        <v>9.684454179</v>
      </c>
      <c r="L31" s="2" t="s">
        <v>15</v>
      </c>
      <c r="M31" s="2">
        <v>-72.5012054443359</v>
      </c>
      <c r="N31" s="2">
        <v>130.270492553711</v>
      </c>
      <c r="O31" s="3">
        <f t="shared" si="2"/>
        <v>14.25100813</v>
      </c>
      <c r="P31" s="2"/>
      <c r="Q31" s="2" t="s">
        <v>15</v>
      </c>
      <c r="R31" s="2">
        <v>-64.6876907348633</v>
      </c>
      <c r="S31" s="2">
        <v>145.124633789063</v>
      </c>
      <c r="T31" s="3">
        <f t="shared" si="3"/>
        <v>2.887909679</v>
      </c>
      <c r="U31" s="4">
        <v>-64.7631881020286</v>
      </c>
      <c r="V31" s="4">
        <v>142.237711126154</v>
      </c>
    </row>
    <row r="32" ht="12.75" customHeight="1">
      <c r="A32" s="2"/>
      <c r="B32" s="2"/>
      <c r="C32" s="2"/>
      <c r="D32" s="7"/>
      <c r="E32" s="2"/>
      <c r="F32" s="2"/>
      <c r="G32" s="2" t="s">
        <v>21</v>
      </c>
      <c r="H32" s="2">
        <v>-44.7548065185547</v>
      </c>
      <c r="I32" s="2">
        <v>139.796463012695</v>
      </c>
      <c r="J32" s="7">
        <f t="shared" si="1"/>
        <v>20.1567613</v>
      </c>
      <c r="L32" s="2" t="s">
        <v>21</v>
      </c>
      <c r="M32" s="2">
        <v>-38.111141204834</v>
      </c>
      <c r="N32" s="2">
        <v>127.366813659668</v>
      </c>
      <c r="O32" s="3">
        <f t="shared" si="2"/>
        <v>30.52007856</v>
      </c>
      <c r="P32" s="2"/>
      <c r="Q32" s="2" t="s">
        <v>21</v>
      </c>
      <c r="R32" s="2">
        <v>-66.5823669433594</v>
      </c>
      <c r="S32" s="2">
        <v>151.35725402832</v>
      </c>
      <c r="T32" s="3">
        <f t="shared" si="3"/>
        <v>9.299219021</v>
      </c>
      <c r="U32" s="4">
        <v>-64.7631881020286</v>
      </c>
      <c r="V32" s="4">
        <v>142.237711126154</v>
      </c>
    </row>
    <row r="33" ht="12.75" customHeight="1">
      <c r="A33" s="2"/>
      <c r="B33" s="2"/>
      <c r="C33" s="2"/>
      <c r="D33" s="7"/>
      <c r="E33" s="2"/>
      <c r="F33" s="2"/>
      <c r="G33" s="2" t="s">
        <v>7</v>
      </c>
      <c r="H33" s="2">
        <v>-62.3372650146484</v>
      </c>
      <c r="I33" s="2">
        <v>146.126480102539</v>
      </c>
      <c r="J33" s="7">
        <f t="shared" si="1"/>
        <v>4.583407791</v>
      </c>
      <c r="L33" s="2" t="s">
        <v>7</v>
      </c>
      <c r="M33" s="2">
        <v>-64.7659225463867</v>
      </c>
      <c r="N33" s="2">
        <v>156.460220336914</v>
      </c>
      <c r="O33" s="3">
        <f t="shared" si="2"/>
        <v>14.22250947</v>
      </c>
      <c r="P33" s="2"/>
      <c r="Q33" s="2" t="s">
        <v>7</v>
      </c>
      <c r="R33" s="2">
        <v>-71.5320587158203</v>
      </c>
      <c r="S33" s="2">
        <v>5.86311101913452</v>
      </c>
      <c r="T33" s="3">
        <f t="shared" si="3"/>
        <v>136.5424812</v>
      </c>
      <c r="U33" s="4">
        <v>-64.7631881020286</v>
      </c>
      <c r="V33" s="4">
        <v>142.237711126154</v>
      </c>
    </row>
    <row r="34" ht="12.75" customHeight="1">
      <c r="A34" s="2"/>
      <c r="B34" s="2"/>
      <c r="C34" s="2"/>
      <c r="D34" s="7"/>
      <c r="E34" s="2"/>
      <c r="F34" s="2"/>
      <c r="G34" s="2" t="s">
        <v>15</v>
      </c>
      <c r="H34" s="2">
        <v>-67.4945526123047</v>
      </c>
      <c r="I34" s="2">
        <v>155.615737915039</v>
      </c>
      <c r="J34" s="7">
        <f t="shared" si="1"/>
        <v>13.65400867</v>
      </c>
      <c r="L34" s="2" t="s">
        <v>15</v>
      </c>
      <c r="M34" s="2">
        <v>-42.4434013366699</v>
      </c>
      <c r="N34" s="2">
        <v>120.522933959961</v>
      </c>
      <c r="O34" s="3">
        <f t="shared" si="2"/>
        <v>31.14007753</v>
      </c>
      <c r="P34" s="2"/>
      <c r="Q34" s="2" t="s">
        <v>15</v>
      </c>
      <c r="R34" s="2">
        <v>68.390251159668</v>
      </c>
      <c r="S34" s="2">
        <v>145.605804443359</v>
      </c>
      <c r="T34" s="3">
        <f t="shared" si="3"/>
        <v>133.1960301</v>
      </c>
      <c r="U34" s="4">
        <v>-64.7631881020286</v>
      </c>
      <c r="V34" s="4">
        <v>142.237711126154</v>
      </c>
    </row>
    <row r="35" ht="12.75" customHeight="1">
      <c r="A35" s="2"/>
      <c r="B35" s="2"/>
      <c r="C35" s="2"/>
      <c r="D35" s="7"/>
      <c r="E35" s="2"/>
      <c r="F35" s="2"/>
      <c r="G35" s="2" t="s">
        <v>21</v>
      </c>
      <c r="H35" s="2">
        <v>-54.8264503479004</v>
      </c>
      <c r="I35" s="2">
        <v>129.250823974609</v>
      </c>
      <c r="J35" s="7">
        <f t="shared" si="1"/>
        <v>16.35230856</v>
      </c>
      <c r="L35" s="2" t="s">
        <v>21</v>
      </c>
      <c r="M35" s="2">
        <v>-48.0268516540527</v>
      </c>
      <c r="N35" s="2">
        <v>135.483245849609</v>
      </c>
      <c r="O35" s="3">
        <f t="shared" si="2"/>
        <v>18.04792949</v>
      </c>
      <c r="P35" s="2"/>
      <c r="Q35" s="2" t="s">
        <v>21</v>
      </c>
      <c r="R35" s="2">
        <v>-38.8276710510254</v>
      </c>
      <c r="S35" s="2">
        <v>119.785087585449</v>
      </c>
      <c r="T35" s="3">
        <f t="shared" si="3"/>
        <v>34.30410105</v>
      </c>
      <c r="U35" s="4">
        <v>-64.7631881020286</v>
      </c>
      <c r="V35" s="4">
        <v>142.237711126154</v>
      </c>
    </row>
    <row r="36" ht="12.75" customHeight="1">
      <c r="A36" s="2"/>
      <c r="B36" s="2"/>
      <c r="C36" s="2"/>
      <c r="D36" s="7"/>
      <c r="E36" s="2"/>
      <c r="F36" s="2"/>
      <c r="G36" s="2" t="s">
        <v>7</v>
      </c>
      <c r="H36" s="2">
        <v>-58.6797676086426</v>
      </c>
      <c r="I36" s="5">
        <f>-170.405853271484+360</f>
        <v>189.5941467</v>
      </c>
      <c r="J36" s="7">
        <f t="shared" si="1"/>
        <v>47.74557569</v>
      </c>
      <c r="L36" s="2" t="s">
        <v>7</v>
      </c>
      <c r="M36" s="2">
        <v>-50.4540939331055</v>
      </c>
      <c r="N36" s="2">
        <v>145.689514160156</v>
      </c>
      <c r="O36" s="3">
        <f t="shared" si="2"/>
        <v>14.71954891</v>
      </c>
      <c r="P36" s="2"/>
      <c r="Q36" s="2" t="s">
        <v>7</v>
      </c>
      <c r="R36" s="2">
        <v>-60.5035972595215</v>
      </c>
      <c r="S36" s="5">
        <f>-178.370895385742+360</f>
        <v>181.6291046</v>
      </c>
      <c r="T36" s="3">
        <f t="shared" si="3"/>
        <v>39.62102971</v>
      </c>
      <c r="U36" s="4">
        <v>-64.7631881020286</v>
      </c>
      <c r="V36" s="4">
        <v>142.237711126154</v>
      </c>
    </row>
    <row r="37" ht="12.75" customHeight="1">
      <c r="A37" s="2"/>
      <c r="B37" s="2"/>
      <c r="C37" s="2"/>
      <c r="D37" s="7"/>
      <c r="E37" s="2"/>
      <c r="F37" s="2"/>
      <c r="G37" s="2" t="s">
        <v>15</v>
      </c>
      <c r="H37" s="2">
        <v>-110.149108886719</v>
      </c>
      <c r="I37" s="2">
        <v>162.80598449707</v>
      </c>
      <c r="J37" s="7">
        <f t="shared" si="1"/>
        <v>49.82906456</v>
      </c>
      <c r="L37" s="2" t="s">
        <v>15</v>
      </c>
      <c r="M37" s="2">
        <v>-69.3960876464844</v>
      </c>
      <c r="N37" s="2">
        <v>161.3583984375</v>
      </c>
      <c r="O37" s="3">
        <f t="shared" si="2"/>
        <v>19.67395338</v>
      </c>
      <c r="P37" s="2"/>
      <c r="Q37" s="2" t="s">
        <v>15</v>
      </c>
      <c r="R37" s="2">
        <v>-59.1246528625488</v>
      </c>
      <c r="S37" s="2">
        <v>151.138000488281</v>
      </c>
      <c r="T37" s="3">
        <f t="shared" si="3"/>
        <v>10.53604434</v>
      </c>
      <c r="U37" s="4">
        <v>-64.7631881020286</v>
      </c>
      <c r="V37" s="4">
        <v>142.237711126154</v>
      </c>
    </row>
    <row r="38" ht="12.75" customHeight="1">
      <c r="A38" s="2"/>
      <c r="B38" s="2"/>
      <c r="C38" s="2"/>
      <c r="D38" s="7"/>
      <c r="E38" s="2"/>
      <c r="F38" s="2"/>
      <c r="G38" s="2" t="s">
        <v>21</v>
      </c>
      <c r="H38" s="2">
        <v>-53.4424171447754</v>
      </c>
      <c r="I38" s="2">
        <v>128.081787109375</v>
      </c>
      <c r="J38" s="7">
        <f t="shared" si="1"/>
        <v>18.12594935</v>
      </c>
      <c r="L38" s="2" t="s">
        <v>21</v>
      </c>
      <c r="M38" s="2">
        <v>-59.9973983764648</v>
      </c>
      <c r="N38" s="2">
        <v>139.590072631836</v>
      </c>
      <c r="O38" s="3">
        <f t="shared" si="2"/>
        <v>5.451856684</v>
      </c>
      <c r="P38" s="2"/>
      <c r="Q38" s="2" t="s">
        <v>21</v>
      </c>
      <c r="R38" s="2">
        <v>-44.3268203735352</v>
      </c>
      <c r="S38" s="2">
        <v>135.072311401367</v>
      </c>
      <c r="T38" s="3">
        <f t="shared" si="3"/>
        <v>21.6561326</v>
      </c>
      <c r="U38" s="4">
        <v>-64.7631881020286</v>
      </c>
      <c r="V38" s="4">
        <v>142.237711126154</v>
      </c>
    </row>
    <row r="39" ht="12.75" customHeight="1">
      <c r="A39" s="2"/>
      <c r="B39" s="2"/>
      <c r="C39" s="2"/>
      <c r="D39" s="7"/>
      <c r="E39" s="2"/>
      <c r="F39" s="2"/>
      <c r="G39" s="2" t="s">
        <v>7</v>
      </c>
      <c r="H39" s="2">
        <v>-66.7723236083984</v>
      </c>
      <c r="I39" s="2">
        <v>0.0</v>
      </c>
      <c r="J39" s="7">
        <f t="shared" si="1"/>
        <v>142.2519001</v>
      </c>
      <c r="L39" s="2" t="s">
        <v>7</v>
      </c>
      <c r="M39" s="2">
        <v>-67.0512847900391</v>
      </c>
      <c r="N39" s="2">
        <v>0.0</v>
      </c>
      <c r="O39" s="3">
        <f t="shared" si="2"/>
        <v>142.2561136</v>
      </c>
      <c r="P39" s="2"/>
      <c r="Q39" s="2" t="s">
        <v>7</v>
      </c>
      <c r="R39" s="2">
        <v>-48.5960960388184</v>
      </c>
      <c r="S39" s="2">
        <v>0.0</v>
      </c>
      <c r="T39" s="3">
        <f t="shared" si="3"/>
        <v>143.1535586</v>
      </c>
      <c r="U39" s="4">
        <v>-64.7631881020286</v>
      </c>
      <c r="V39" s="4">
        <v>142.237711126154</v>
      </c>
    </row>
    <row r="40" ht="12.75" customHeight="1">
      <c r="U40" s="4">
        <v>-64.7631881020286</v>
      </c>
      <c r="V40" s="4">
        <v>142.237711126154</v>
      </c>
    </row>
    <row r="41" ht="12.75" customHeight="1">
      <c r="B41" s="1"/>
      <c r="H41" s="1" t="s">
        <v>16</v>
      </c>
      <c r="L41" s="8" t="s">
        <v>17</v>
      </c>
      <c r="M41" s="8" t="s">
        <v>22</v>
      </c>
    </row>
    <row r="42" ht="12.75" customHeight="1">
      <c r="B42" s="2"/>
      <c r="C42" s="3"/>
      <c r="E42" s="3"/>
      <c r="F42" s="3"/>
      <c r="H42" s="2" t="s">
        <v>19</v>
      </c>
      <c r="I42" s="3">
        <f t="shared" ref="I42:I79" si="4">AVERAGE(J2,O2,T2)</f>
        <v>71.93420646</v>
      </c>
      <c r="K42" s="3">
        <v>71.934206455097</v>
      </c>
      <c r="L42" s="3">
        <f t="shared" ref="L42:L79" si="5">STDEV(J2,O2,T2)</f>
        <v>6.266563798</v>
      </c>
      <c r="M42" s="7">
        <f t="shared" ref="M42:M79" si="6">L42/SQRT(3)</f>
        <v>3.618002295</v>
      </c>
    </row>
    <row r="43" ht="12.75" customHeight="1">
      <c r="B43" s="2"/>
      <c r="C43" s="3"/>
      <c r="E43" s="3"/>
      <c r="F43" s="3"/>
      <c r="H43" s="2" t="s">
        <v>7</v>
      </c>
      <c r="I43" s="3">
        <f t="shared" si="4"/>
        <v>48.76535413</v>
      </c>
      <c r="K43" s="3">
        <v>123.949106963662</v>
      </c>
      <c r="L43" s="3">
        <f t="shared" si="5"/>
        <v>16.55635445</v>
      </c>
      <c r="M43" s="7">
        <f t="shared" si="6"/>
        <v>9.558815697</v>
      </c>
    </row>
    <row r="44" ht="12.75" customHeight="1">
      <c r="B44" s="2"/>
      <c r="C44" s="3"/>
      <c r="E44" s="3"/>
      <c r="F44" s="3"/>
      <c r="H44" s="2" t="s">
        <v>8</v>
      </c>
      <c r="I44" s="3">
        <f t="shared" si="4"/>
        <v>33.50446744</v>
      </c>
      <c r="K44" s="3">
        <v>33.5044674353153</v>
      </c>
      <c r="L44" s="3">
        <f t="shared" si="5"/>
        <v>27.38020251</v>
      </c>
      <c r="M44" s="7">
        <f t="shared" si="6"/>
        <v>15.80796729</v>
      </c>
    </row>
    <row r="45" ht="12.75" customHeight="1">
      <c r="B45" s="2"/>
      <c r="C45" s="3"/>
      <c r="E45" s="3"/>
      <c r="F45" s="3"/>
      <c r="H45" s="2" t="s">
        <v>20</v>
      </c>
      <c r="I45" s="3">
        <f t="shared" si="4"/>
        <v>73.51361954</v>
      </c>
      <c r="K45" s="3">
        <v>73.5136195424533</v>
      </c>
      <c r="L45" s="3">
        <f t="shared" si="5"/>
        <v>105.4874037</v>
      </c>
      <c r="M45" s="7">
        <f t="shared" si="6"/>
        <v>60.90318095</v>
      </c>
      <c r="P45" s="8">
        <v>-64.5702667236328</v>
      </c>
      <c r="Q45" s="8">
        <v>146.391983032227</v>
      </c>
    </row>
    <row r="46" ht="12.75" customHeight="1">
      <c r="B46" s="2"/>
      <c r="C46" s="3"/>
      <c r="E46" s="3"/>
      <c r="F46" s="3"/>
      <c r="H46" s="2" t="s">
        <v>7</v>
      </c>
      <c r="I46" s="3">
        <f t="shared" si="4"/>
        <v>107.3218642</v>
      </c>
      <c r="K46" s="3">
        <v>107.321864191733</v>
      </c>
      <c r="L46" s="3">
        <f t="shared" si="5"/>
        <v>40.97954564</v>
      </c>
      <c r="M46" s="7">
        <f t="shared" si="6"/>
        <v>23.65955171</v>
      </c>
      <c r="P46" s="8">
        <v>-64.1683578491211</v>
      </c>
      <c r="Q46" s="8">
        <v>145.153839111328</v>
      </c>
    </row>
    <row r="47" ht="12.75" customHeight="1">
      <c r="B47" s="2"/>
      <c r="C47" s="3"/>
      <c r="E47" s="3"/>
      <c r="F47" s="3"/>
      <c r="H47" s="2" t="s">
        <v>8</v>
      </c>
      <c r="I47" s="3">
        <f t="shared" si="4"/>
        <v>26.03710016</v>
      </c>
      <c r="K47" s="3">
        <v>26.0371001552945</v>
      </c>
      <c r="L47" s="3">
        <f t="shared" si="5"/>
        <v>6.717406344</v>
      </c>
      <c r="M47" s="7">
        <f t="shared" si="6"/>
        <v>3.878296361</v>
      </c>
      <c r="P47" s="8">
        <v>-62.3372650146484</v>
      </c>
      <c r="Q47" s="8">
        <v>146.126480102539</v>
      </c>
    </row>
    <row r="48" ht="12.75" customHeight="1">
      <c r="B48" s="2"/>
      <c r="C48" s="3"/>
      <c r="E48" s="3"/>
      <c r="F48" s="3"/>
      <c r="H48" s="2" t="s">
        <v>20</v>
      </c>
      <c r="I48" s="3">
        <f t="shared" si="4"/>
        <v>19.39261832</v>
      </c>
      <c r="K48" s="3">
        <v>19.3926183182707</v>
      </c>
      <c r="L48" s="3">
        <f t="shared" si="5"/>
        <v>3.370762743</v>
      </c>
      <c r="M48" s="7">
        <f t="shared" si="6"/>
        <v>1.946110777</v>
      </c>
      <c r="P48" s="8">
        <v>-64.4315567016602</v>
      </c>
      <c r="Q48" s="8">
        <v>132.093292236328</v>
      </c>
    </row>
    <row r="49" ht="12.75" customHeight="1">
      <c r="B49" s="2"/>
      <c r="C49" s="3"/>
      <c r="E49" s="3"/>
      <c r="F49" s="3"/>
      <c r="H49" s="2" t="s">
        <v>7</v>
      </c>
      <c r="I49" s="3">
        <f t="shared" si="4"/>
        <v>26.95941205</v>
      </c>
      <c r="K49" s="3">
        <v>26.9594120498631</v>
      </c>
      <c r="L49" s="3">
        <f t="shared" si="5"/>
        <v>6.680438401</v>
      </c>
      <c r="M49" s="7">
        <f t="shared" si="6"/>
        <v>3.856952909</v>
      </c>
      <c r="P49" s="8">
        <v>-66.9145736694336</v>
      </c>
      <c r="Q49" s="8">
        <v>138.777435302734</v>
      </c>
    </row>
    <row r="50" ht="12.75" customHeight="1">
      <c r="B50" s="2"/>
      <c r="C50" s="3"/>
      <c r="E50" s="3"/>
      <c r="F50" s="3"/>
      <c r="H50" s="2" t="s">
        <v>8</v>
      </c>
      <c r="I50" s="3">
        <f t="shared" si="4"/>
        <v>13.85419753</v>
      </c>
      <c r="K50" s="3">
        <v>13.85419752987</v>
      </c>
      <c r="L50" s="3">
        <f t="shared" si="5"/>
        <v>12.43266863</v>
      </c>
      <c r="M50" s="7">
        <f t="shared" si="6"/>
        <v>7.178004581</v>
      </c>
      <c r="P50" s="8">
        <v>-63.411735534668</v>
      </c>
      <c r="Q50" s="8">
        <v>132.930160522461</v>
      </c>
    </row>
    <row r="51" ht="12.75" customHeight="1">
      <c r="B51" s="2"/>
      <c r="C51" s="3"/>
      <c r="E51" s="3"/>
      <c r="F51" s="3"/>
      <c r="H51" s="2" t="s">
        <v>20</v>
      </c>
      <c r="I51" s="3">
        <f t="shared" si="4"/>
        <v>14.55060869</v>
      </c>
      <c r="K51" s="3">
        <v>14.5506086853734</v>
      </c>
      <c r="L51" s="3">
        <f t="shared" si="5"/>
        <v>4.077684361</v>
      </c>
      <c r="M51" s="7">
        <f t="shared" si="6"/>
        <v>2.354252163</v>
      </c>
      <c r="P51" s="8">
        <v>-72.5012054443359</v>
      </c>
      <c r="Q51" s="8">
        <v>130.270492553711</v>
      </c>
    </row>
    <row r="52" ht="12.75" customHeight="1">
      <c r="B52" s="2"/>
      <c r="C52" s="3"/>
      <c r="E52" s="3"/>
      <c r="F52" s="3"/>
      <c r="H52" s="2" t="s">
        <v>7</v>
      </c>
      <c r="I52" s="3">
        <f t="shared" si="4"/>
        <v>29.52364459</v>
      </c>
      <c r="K52" s="3">
        <v>29.5236445901694</v>
      </c>
      <c r="L52" s="3">
        <f t="shared" si="5"/>
        <v>5.465517309</v>
      </c>
      <c r="M52" s="7">
        <f t="shared" si="6"/>
        <v>3.155517889</v>
      </c>
      <c r="P52" s="8">
        <v>-62.9242057800293</v>
      </c>
      <c r="Q52" s="8">
        <v>148.762161254883</v>
      </c>
    </row>
    <row r="53" ht="12.75" customHeight="1">
      <c r="B53" s="2"/>
      <c r="C53" s="3"/>
      <c r="E53" s="3"/>
      <c r="F53" s="3"/>
      <c r="H53" s="2" t="s">
        <v>8</v>
      </c>
      <c r="I53" s="3">
        <f t="shared" si="4"/>
        <v>13.65235384</v>
      </c>
      <c r="K53" s="3">
        <v>13.6523538402022</v>
      </c>
      <c r="L53" s="3">
        <f t="shared" si="5"/>
        <v>11.87177203</v>
      </c>
      <c r="M53" s="7">
        <f t="shared" si="6"/>
        <v>6.854170778</v>
      </c>
      <c r="P53" s="8">
        <v>-62.5944519042969</v>
      </c>
      <c r="Q53" s="8">
        <v>149.343536376953</v>
      </c>
    </row>
    <row r="54" ht="12.75" customHeight="1">
      <c r="B54" s="2"/>
      <c r="C54" s="3"/>
      <c r="E54" s="3"/>
      <c r="F54" s="3"/>
      <c r="H54" s="2" t="s">
        <v>20</v>
      </c>
      <c r="I54" s="3">
        <f t="shared" si="4"/>
        <v>8.084855624</v>
      </c>
      <c r="K54" s="3">
        <v>8.08485562416847</v>
      </c>
      <c r="L54" s="3">
        <f t="shared" si="5"/>
        <v>3.547129795</v>
      </c>
      <c r="M54" s="7">
        <f t="shared" si="6"/>
        <v>2.047936342</v>
      </c>
      <c r="P54" s="8">
        <v>-63.853759765625</v>
      </c>
      <c r="Q54" s="8">
        <v>149.640808105469</v>
      </c>
    </row>
    <row r="55" ht="12.75" customHeight="1">
      <c r="B55" s="2"/>
      <c r="C55" s="3"/>
      <c r="E55" s="3"/>
      <c r="F55" s="3"/>
      <c r="H55" s="2" t="s">
        <v>7</v>
      </c>
      <c r="I55" s="3">
        <f t="shared" si="4"/>
        <v>29.3415199</v>
      </c>
      <c r="K55" s="3">
        <v>29.3415198952633</v>
      </c>
      <c r="L55" s="3">
        <f t="shared" si="5"/>
        <v>6.081484942</v>
      </c>
      <c r="M55" s="7">
        <f t="shared" si="6"/>
        <v>3.511146969</v>
      </c>
      <c r="P55" s="8">
        <v>-64.6876907348633</v>
      </c>
      <c r="Q55" s="8">
        <v>145.124633789063</v>
      </c>
    </row>
    <row r="56" ht="12.75" customHeight="1">
      <c r="B56" s="2"/>
      <c r="C56" s="3"/>
      <c r="E56" s="3"/>
      <c r="F56" s="3"/>
      <c r="H56" s="2" t="s">
        <v>8</v>
      </c>
      <c r="I56" s="3">
        <f t="shared" si="4"/>
        <v>28.5725853</v>
      </c>
      <c r="K56" s="3">
        <v>28.5725853036573</v>
      </c>
      <c r="L56" s="3">
        <f t="shared" si="5"/>
        <v>5.968057516</v>
      </c>
      <c r="M56" s="7">
        <f t="shared" si="6"/>
        <v>3.445659613</v>
      </c>
      <c r="O56" s="8" t="s">
        <v>23</v>
      </c>
      <c r="P56" s="9">
        <f t="shared" ref="P56:Q56" si="7">AVERAGE(P45:P55)</f>
        <v>-64.7631881</v>
      </c>
      <c r="Q56" s="9">
        <f t="shared" si="7"/>
        <v>142.2377111</v>
      </c>
    </row>
    <row r="57" ht="12.75" customHeight="1">
      <c r="B57" s="2"/>
      <c r="C57" s="3"/>
      <c r="E57" s="3"/>
      <c r="F57" s="3"/>
      <c r="H57" s="2" t="s">
        <v>21</v>
      </c>
      <c r="I57" s="3">
        <f t="shared" si="4"/>
        <v>23.51970077</v>
      </c>
      <c r="K57" s="3">
        <v>23.5197007651978</v>
      </c>
      <c r="L57" s="3">
        <f t="shared" si="5"/>
        <v>7.664471919</v>
      </c>
      <c r="M57" s="7">
        <f t="shared" si="6"/>
        <v>4.425084926</v>
      </c>
      <c r="O57" s="8" t="s">
        <v>24</v>
      </c>
      <c r="P57" s="9">
        <f t="shared" ref="P57:Q57" si="8">STDEV(P45:P55)</f>
        <v>2.857200599</v>
      </c>
      <c r="Q57" s="9">
        <f t="shared" si="8"/>
        <v>7.360796376</v>
      </c>
    </row>
    <row r="58" ht="12.75" customHeight="1">
      <c r="B58" s="2"/>
      <c r="C58" s="3"/>
      <c r="E58" s="3"/>
      <c r="F58" s="3"/>
      <c r="H58" s="2" t="s">
        <v>7</v>
      </c>
      <c r="I58" s="3">
        <f t="shared" si="4"/>
        <v>37.21348849</v>
      </c>
      <c r="K58" s="3">
        <v>37.2134884914141</v>
      </c>
      <c r="L58" s="3">
        <f t="shared" si="5"/>
        <v>6.787367368</v>
      </c>
      <c r="M58" s="7">
        <f t="shared" si="6"/>
        <v>3.918688377</v>
      </c>
    </row>
    <row r="59" ht="12.75" customHeight="1">
      <c r="B59" s="2"/>
      <c r="C59" s="3"/>
      <c r="E59" s="3"/>
      <c r="F59" s="3"/>
      <c r="H59" s="2" t="s">
        <v>8</v>
      </c>
      <c r="I59" s="3">
        <f t="shared" si="4"/>
        <v>11.91910678</v>
      </c>
      <c r="K59" s="3">
        <v>11.9191067816356</v>
      </c>
      <c r="L59" s="3">
        <f t="shared" si="5"/>
        <v>5.396397222</v>
      </c>
      <c r="M59" s="7">
        <f t="shared" si="6"/>
        <v>3.115611389</v>
      </c>
    </row>
    <row r="60" ht="12.75" customHeight="1">
      <c r="B60" s="2"/>
      <c r="C60" s="3"/>
      <c r="E60" s="3"/>
      <c r="F60" s="3"/>
      <c r="H60" s="2" t="s">
        <v>21</v>
      </c>
      <c r="I60" s="3">
        <f t="shared" si="4"/>
        <v>20.36495517</v>
      </c>
      <c r="K60" s="3">
        <v>20.3649551665633</v>
      </c>
      <c r="L60" s="3">
        <f t="shared" si="5"/>
        <v>11.92666429</v>
      </c>
      <c r="M60" s="7">
        <f t="shared" si="6"/>
        <v>6.885862839</v>
      </c>
    </row>
    <row r="61" ht="12.75" customHeight="1">
      <c r="B61" s="2"/>
      <c r="C61" s="3"/>
      <c r="E61" s="3"/>
      <c r="F61" s="3"/>
      <c r="H61" s="2" t="s">
        <v>7</v>
      </c>
      <c r="I61" s="3">
        <f t="shared" si="4"/>
        <v>40.0484967</v>
      </c>
      <c r="K61" s="3">
        <v>40.0484967013321</v>
      </c>
      <c r="L61" s="3">
        <f t="shared" si="5"/>
        <v>0.8716604874</v>
      </c>
      <c r="M61" s="7">
        <f t="shared" si="6"/>
        <v>0.503253417</v>
      </c>
    </row>
    <row r="62" ht="12.75" customHeight="1">
      <c r="B62" s="2"/>
      <c r="C62" s="3"/>
      <c r="E62" s="3"/>
      <c r="F62" s="3"/>
      <c r="H62" s="2" t="s">
        <v>8</v>
      </c>
      <c r="I62" s="3">
        <f t="shared" si="4"/>
        <v>16.73157699</v>
      </c>
      <c r="K62" s="3">
        <v>16.7315769858946</v>
      </c>
      <c r="L62" s="3">
        <f t="shared" si="5"/>
        <v>8.127360904</v>
      </c>
      <c r="M62" s="7">
        <f t="shared" si="6"/>
        <v>4.692334006</v>
      </c>
    </row>
    <row r="63" ht="12.75" customHeight="1">
      <c r="B63" s="2"/>
      <c r="C63" s="3"/>
      <c r="E63" s="3"/>
      <c r="F63" s="3"/>
      <c r="H63" s="2" t="s">
        <v>21</v>
      </c>
      <c r="I63" s="3">
        <f t="shared" si="4"/>
        <v>20.22585154</v>
      </c>
      <c r="K63" s="3">
        <v>20.2258515382697</v>
      </c>
      <c r="L63" s="3">
        <f t="shared" si="5"/>
        <v>9.343583135</v>
      </c>
      <c r="M63" s="7">
        <f t="shared" si="6"/>
        <v>5.394520238</v>
      </c>
    </row>
    <row r="64" ht="12.75" customHeight="1">
      <c r="B64" s="2"/>
      <c r="C64" s="3"/>
      <c r="E64" s="3"/>
      <c r="F64" s="3"/>
      <c r="H64" s="2" t="s">
        <v>7</v>
      </c>
      <c r="I64" s="3">
        <f t="shared" si="4"/>
        <v>44.22480132</v>
      </c>
      <c r="K64" s="3">
        <v>44.224801317219</v>
      </c>
      <c r="L64" s="3">
        <f t="shared" si="5"/>
        <v>4.389484955</v>
      </c>
      <c r="M64" s="7">
        <f t="shared" si="6"/>
        <v>2.53427032</v>
      </c>
    </row>
    <row r="65" ht="12.75" customHeight="1">
      <c r="B65" s="2"/>
      <c r="C65" s="3"/>
      <c r="E65" s="3"/>
      <c r="F65" s="3"/>
      <c r="H65" s="2" t="s">
        <v>8</v>
      </c>
      <c r="I65" s="3">
        <f t="shared" si="4"/>
        <v>27.83189501</v>
      </c>
      <c r="K65" s="3">
        <v>27.831895011319</v>
      </c>
      <c r="L65" s="3">
        <f t="shared" si="5"/>
        <v>6.102240444</v>
      </c>
      <c r="M65" s="7">
        <f t="shared" si="6"/>
        <v>3.523130163</v>
      </c>
    </row>
    <row r="66" ht="12.75" customHeight="1">
      <c r="B66" s="2"/>
      <c r="C66" s="3"/>
      <c r="E66" s="3"/>
      <c r="F66" s="3"/>
      <c r="H66" s="2" t="s">
        <v>21</v>
      </c>
      <c r="I66" s="3">
        <f t="shared" si="4"/>
        <v>19.36442804</v>
      </c>
      <c r="K66" s="3">
        <v>19.3644280431731</v>
      </c>
      <c r="L66" s="3">
        <f t="shared" si="5"/>
        <v>6.109875526</v>
      </c>
      <c r="M66" s="7">
        <f t="shared" si="6"/>
        <v>3.52753828</v>
      </c>
    </row>
    <row r="67" ht="12.75" customHeight="1">
      <c r="B67" s="2"/>
      <c r="C67" s="3"/>
      <c r="E67" s="3"/>
      <c r="F67" s="3"/>
      <c r="H67" s="2" t="s">
        <v>7</v>
      </c>
      <c r="I67" s="3">
        <f t="shared" si="4"/>
        <v>28.0442309</v>
      </c>
      <c r="K67" s="3">
        <v>28.0442308969247</v>
      </c>
      <c r="L67" s="3">
        <f t="shared" si="5"/>
        <v>11.1657818</v>
      </c>
      <c r="M67" s="7">
        <f t="shared" si="6"/>
        <v>6.446567131</v>
      </c>
    </row>
    <row r="68" ht="12.75" customHeight="1">
      <c r="B68" s="2"/>
      <c r="C68" s="3"/>
      <c r="E68" s="3"/>
      <c r="F68" s="3"/>
      <c r="H68" s="2" t="s">
        <v>15</v>
      </c>
      <c r="I68" s="3">
        <f t="shared" si="4"/>
        <v>6.613359069</v>
      </c>
      <c r="K68" s="3">
        <v>6.61335906879207</v>
      </c>
      <c r="L68" s="3">
        <f t="shared" si="5"/>
        <v>3.296808912</v>
      </c>
      <c r="M68" s="7">
        <f t="shared" si="6"/>
        <v>1.903413513</v>
      </c>
    </row>
    <row r="69" ht="12.75" customHeight="1">
      <c r="B69" s="2"/>
      <c r="C69" s="3"/>
      <c r="E69" s="3"/>
      <c r="F69" s="3"/>
      <c r="H69" s="2" t="s">
        <v>21</v>
      </c>
      <c r="I69" s="3">
        <f t="shared" si="4"/>
        <v>21.31598536</v>
      </c>
      <c r="K69" s="3">
        <v>21.3159853587223</v>
      </c>
      <c r="L69" s="3">
        <f t="shared" si="5"/>
        <v>6.415540209</v>
      </c>
      <c r="M69" s="7">
        <f t="shared" si="6"/>
        <v>3.704013866</v>
      </c>
    </row>
    <row r="70" ht="12.75" customHeight="1">
      <c r="B70" s="2"/>
      <c r="C70" s="3"/>
      <c r="E70" s="3"/>
      <c r="F70" s="3"/>
      <c r="H70" s="2" t="s">
        <v>7</v>
      </c>
      <c r="I70" s="3">
        <f t="shared" si="4"/>
        <v>38.9588445</v>
      </c>
      <c r="K70" s="3">
        <v>38.9588444997717</v>
      </c>
      <c r="L70" s="3">
        <f t="shared" si="5"/>
        <v>10.60499282</v>
      </c>
      <c r="M70" s="7">
        <f t="shared" si="6"/>
        <v>6.12279546</v>
      </c>
    </row>
    <row r="71" ht="12.75" customHeight="1">
      <c r="B71" s="2"/>
      <c r="C71" s="3"/>
      <c r="E71" s="3"/>
      <c r="F71" s="3"/>
      <c r="H71" s="2" t="s">
        <v>15</v>
      </c>
      <c r="I71" s="3">
        <f t="shared" si="4"/>
        <v>8.941123996</v>
      </c>
      <c r="K71" s="3">
        <v>8.94112399638795</v>
      </c>
      <c r="L71" s="3">
        <f t="shared" si="5"/>
        <v>5.717902275</v>
      </c>
      <c r="M71" s="7">
        <f t="shared" si="6"/>
        <v>3.301232418</v>
      </c>
    </row>
    <row r="72" ht="12.75" customHeight="1">
      <c r="B72" s="2"/>
      <c r="C72" s="3"/>
      <c r="E72" s="3"/>
      <c r="F72" s="3"/>
      <c r="H72" s="2" t="s">
        <v>21</v>
      </c>
      <c r="I72" s="3">
        <f t="shared" si="4"/>
        <v>19.99201963</v>
      </c>
      <c r="K72" s="3">
        <v>19.9920196254413</v>
      </c>
      <c r="L72" s="3">
        <f t="shared" si="5"/>
        <v>10.61138892</v>
      </c>
      <c r="M72" s="7">
        <f t="shared" si="6"/>
        <v>6.126488248</v>
      </c>
    </row>
    <row r="73" ht="12.75" customHeight="1">
      <c r="B73" s="2"/>
      <c r="C73" s="3"/>
      <c r="E73" s="3"/>
      <c r="F73" s="3"/>
      <c r="H73" s="2" t="s">
        <v>7</v>
      </c>
      <c r="I73" s="3">
        <f t="shared" si="4"/>
        <v>51.78279948</v>
      </c>
      <c r="K73" s="3">
        <v>51.7827994777754</v>
      </c>
      <c r="L73" s="3">
        <f t="shared" si="5"/>
        <v>73.56208807</v>
      </c>
      <c r="M73" s="7">
        <f t="shared" si="6"/>
        <v>42.47109135</v>
      </c>
    </row>
    <row r="74" ht="12.75" customHeight="1">
      <c r="B74" s="2"/>
      <c r="C74" s="3"/>
      <c r="E74" s="3"/>
      <c r="F74" s="3"/>
      <c r="H74" s="2" t="s">
        <v>15</v>
      </c>
      <c r="I74" s="3">
        <f t="shared" si="4"/>
        <v>59.33003877</v>
      </c>
      <c r="K74" s="3">
        <v>59.3300387748468</v>
      </c>
      <c r="L74" s="3">
        <f t="shared" si="5"/>
        <v>64.56453484</v>
      </c>
      <c r="M74" s="7">
        <f t="shared" si="6"/>
        <v>37.27635157</v>
      </c>
    </row>
    <row r="75" ht="12.75" customHeight="1">
      <c r="B75" s="2"/>
      <c r="C75" s="3"/>
      <c r="E75" s="3"/>
      <c r="F75" s="3"/>
      <c r="H75" s="2" t="s">
        <v>21</v>
      </c>
      <c r="I75" s="3">
        <f t="shared" si="4"/>
        <v>22.90144636</v>
      </c>
      <c r="K75" s="3">
        <v>22.9014463636111</v>
      </c>
      <c r="L75" s="3">
        <f t="shared" si="5"/>
        <v>9.911315904</v>
      </c>
      <c r="M75" s="7">
        <f t="shared" si="6"/>
        <v>5.722300905</v>
      </c>
    </row>
    <row r="76" ht="12.75" customHeight="1">
      <c r="B76" s="2"/>
      <c r="C76" s="3"/>
      <c r="E76" s="3"/>
      <c r="F76" s="3"/>
      <c r="H76" s="2" t="s">
        <v>7</v>
      </c>
      <c r="I76" s="3">
        <f t="shared" si="4"/>
        <v>34.0287181</v>
      </c>
      <c r="K76" s="3">
        <v>34.0287181021842</v>
      </c>
      <c r="L76" s="3">
        <f t="shared" si="5"/>
        <v>17.20857557</v>
      </c>
      <c r="M76" s="7">
        <f t="shared" si="6"/>
        <v>9.935375735</v>
      </c>
    </row>
    <row r="77" ht="12.75" customHeight="1">
      <c r="B77" s="2"/>
      <c r="C77" s="3"/>
      <c r="E77" s="3"/>
      <c r="F77" s="3"/>
      <c r="H77" s="2" t="s">
        <v>15</v>
      </c>
      <c r="I77" s="3">
        <f t="shared" si="4"/>
        <v>26.67968743</v>
      </c>
      <c r="K77" s="3">
        <v>26.679687426085</v>
      </c>
      <c r="L77" s="3">
        <f t="shared" si="5"/>
        <v>20.56199386</v>
      </c>
      <c r="M77" s="7">
        <f t="shared" si="6"/>
        <v>11.87147269</v>
      </c>
    </row>
    <row r="78" ht="12.75" customHeight="1">
      <c r="B78" s="2"/>
      <c r="C78" s="3"/>
      <c r="E78" s="3"/>
      <c r="F78" s="3"/>
      <c r="H78" s="2" t="s">
        <v>21</v>
      </c>
      <c r="I78" s="3">
        <f t="shared" si="4"/>
        <v>15.07797954</v>
      </c>
      <c r="K78" s="3">
        <v>15.0779795444002</v>
      </c>
      <c r="L78" s="3">
        <f t="shared" si="5"/>
        <v>8.521280974</v>
      </c>
      <c r="M78" s="7">
        <f t="shared" si="6"/>
        <v>4.919763864</v>
      </c>
    </row>
    <row r="79" ht="12.75" customHeight="1">
      <c r="B79" s="2"/>
      <c r="C79" s="3"/>
      <c r="E79" s="3"/>
      <c r="F79" s="3"/>
      <c r="H79" s="2" t="s">
        <v>7</v>
      </c>
      <c r="I79" s="3">
        <f t="shared" si="4"/>
        <v>142.5538574</v>
      </c>
      <c r="K79" s="3">
        <v>142.553857431584</v>
      </c>
      <c r="L79" s="3">
        <f t="shared" si="5"/>
        <v>0.5193606962</v>
      </c>
      <c r="M79" s="7">
        <f t="shared" si="6"/>
        <v>0.2998530378</v>
      </c>
    </row>
    <row r="80" ht="12.75" customHeight="1"/>
    <row r="81" ht="12.75" customHeight="1">
      <c r="H81" s="8" t="s">
        <v>25</v>
      </c>
      <c r="I81" s="8" t="s">
        <v>26</v>
      </c>
      <c r="J81" s="8" t="s">
        <v>27</v>
      </c>
      <c r="L81" s="8" t="s">
        <v>28</v>
      </c>
      <c r="M81" s="8" t="s">
        <v>29</v>
      </c>
    </row>
    <row r="82" ht="12.75" customHeight="1">
      <c r="D82" s="7"/>
      <c r="F82" s="7"/>
      <c r="H82" s="8">
        <v>0.0</v>
      </c>
      <c r="I82" s="10">
        <v>0.0</v>
      </c>
      <c r="J82" s="7">
        <f>I82/I103</f>
        <v>0</v>
      </c>
      <c r="L82" s="7">
        <f>SUMPRODUCT(H82:H102, J82:J102) / SUM(J82:J102)</f>
        <v>37.89473684</v>
      </c>
      <c r="M82" s="7">
        <f>SQRT(SUMPRODUCT(J82:J102, (H82:H102 - $L$82)^2) / SUM(J82:J102)
)</f>
        <v>27.44927329</v>
      </c>
    </row>
    <row r="83" ht="12.75" customHeight="1">
      <c r="D83" s="7"/>
      <c r="H83" s="8">
        <v>10.0</v>
      </c>
      <c r="I83" s="10">
        <v>3.0</v>
      </c>
      <c r="J83" s="7">
        <f>I83/I103</f>
        <v>0.07894736842</v>
      </c>
    </row>
    <row r="84" ht="12.75" customHeight="1">
      <c r="D84" s="7"/>
      <c r="H84" s="8">
        <v>20.0</v>
      </c>
      <c r="I84" s="10">
        <v>9.0</v>
      </c>
      <c r="J84" s="7">
        <f>I84/I103</f>
        <v>0.2368421053</v>
      </c>
    </row>
    <row r="85" ht="12.75" customHeight="1">
      <c r="D85" s="7"/>
      <c r="H85" s="8">
        <v>30.0</v>
      </c>
      <c r="I85" s="10">
        <v>13.0</v>
      </c>
      <c r="J85" s="7">
        <f>I85/I103</f>
        <v>0.3421052632</v>
      </c>
    </row>
    <row r="86" ht="12.75" customHeight="1">
      <c r="D86" s="7"/>
      <c r="H86" s="8">
        <v>40.0</v>
      </c>
      <c r="I86" s="10">
        <v>5.0</v>
      </c>
      <c r="J86" s="7">
        <f>I86/I103</f>
        <v>0.1315789474</v>
      </c>
    </row>
    <row r="87" ht="12.75" customHeight="1">
      <c r="D87" s="7"/>
      <c r="H87" s="8">
        <v>50.0</v>
      </c>
      <c r="I87" s="10">
        <v>2.0</v>
      </c>
      <c r="J87" s="7">
        <f>I87/I103</f>
        <v>0.05263157895</v>
      </c>
    </row>
    <row r="88" ht="12.75" customHeight="1">
      <c r="D88" s="7"/>
      <c r="H88" s="8">
        <v>60.0</v>
      </c>
      <c r="I88" s="10">
        <v>2.0</v>
      </c>
      <c r="J88" s="7">
        <f>I88/I103</f>
        <v>0.05263157895</v>
      </c>
    </row>
    <row r="89" ht="12.75" customHeight="1">
      <c r="D89" s="7"/>
      <c r="H89" s="8">
        <v>70.0</v>
      </c>
      <c r="I89" s="10">
        <v>0.0</v>
      </c>
      <c r="J89" s="7">
        <f>I89/I103</f>
        <v>0</v>
      </c>
    </row>
    <row r="90" ht="12.75" customHeight="1">
      <c r="D90" s="7"/>
      <c r="H90" s="8">
        <v>80.0</v>
      </c>
      <c r="I90" s="10">
        <v>2.0</v>
      </c>
      <c r="J90" s="7">
        <f>I90/I103</f>
        <v>0.05263157895</v>
      </c>
    </row>
    <row r="91" ht="12.75" customHeight="1">
      <c r="D91" s="7"/>
      <c r="H91" s="8">
        <v>90.0</v>
      </c>
      <c r="I91" s="10">
        <v>0.0</v>
      </c>
      <c r="J91" s="7">
        <f>I91/I103</f>
        <v>0</v>
      </c>
    </row>
    <row r="92" ht="12.75" customHeight="1">
      <c r="D92" s="7"/>
      <c r="H92" s="8">
        <v>100.0</v>
      </c>
      <c r="I92" s="10">
        <v>0.0</v>
      </c>
      <c r="J92" s="7">
        <f>I92/I103</f>
        <v>0</v>
      </c>
    </row>
    <row r="93" ht="12.75" customHeight="1">
      <c r="D93" s="7"/>
      <c r="H93" s="8">
        <v>110.0</v>
      </c>
      <c r="I93" s="10">
        <v>1.0</v>
      </c>
      <c r="J93" s="7">
        <f>I93/I103</f>
        <v>0.02631578947</v>
      </c>
    </row>
    <row r="94" ht="12.75" customHeight="1">
      <c r="D94" s="7"/>
      <c r="H94" s="8">
        <v>120.0</v>
      </c>
      <c r="I94" s="10">
        <v>0.0</v>
      </c>
      <c r="J94" s="7">
        <f>I94/I103</f>
        <v>0</v>
      </c>
    </row>
    <row r="95" ht="12.75" customHeight="1">
      <c r="D95" s="7"/>
      <c r="H95" s="8">
        <v>130.0</v>
      </c>
      <c r="I95" s="10">
        <v>0.0</v>
      </c>
      <c r="J95" s="7">
        <f>I95/I103</f>
        <v>0</v>
      </c>
    </row>
    <row r="96" ht="12.75" customHeight="1">
      <c r="D96" s="7"/>
      <c r="H96" s="8">
        <v>140.0</v>
      </c>
      <c r="I96" s="10">
        <v>0.0</v>
      </c>
      <c r="J96" s="7">
        <f>I96/I103</f>
        <v>0</v>
      </c>
    </row>
    <row r="97" ht="12.75" customHeight="1">
      <c r="D97" s="7"/>
      <c r="H97" s="8">
        <v>150.0</v>
      </c>
      <c r="I97" s="10">
        <v>1.0</v>
      </c>
      <c r="J97" s="7">
        <f>I97/I103</f>
        <v>0.02631578947</v>
      </c>
    </row>
    <row r="98" ht="12.75" customHeight="1">
      <c r="D98" s="7"/>
      <c r="H98" s="8">
        <v>160.0</v>
      </c>
      <c r="I98" s="10">
        <v>0.0</v>
      </c>
      <c r="J98" s="7">
        <f>I98/I103</f>
        <v>0</v>
      </c>
    </row>
    <row r="99" ht="12.75" customHeight="1">
      <c r="D99" s="7"/>
      <c r="H99" s="8">
        <v>170.0</v>
      </c>
      <c r="I99" s="10">
        <v>0.0</v>
      </c>
      <c r="J99" s="7">
        <f>I99/I103</f>
        <v>0</v>
      </c>
    </row>
    <row r="100" ht="12.75" customHeight="1">
      <c r="D100" s="7"/>
      <c r="H100" s="8">
        <v>180.0</v>
      </c>
      <c r="I100" s="10">
        <v>0.0</v>
      </c>
      <c r="J100" s="7">
        <f>I100/I103</f>
        <v>0</v>
      </c>
    </row>
    <row r="101" ht="12.75" customHeight="1">
      <c r="D101" s="7"/>
      <c r="H101" s="8">
        <v>190.0</v>
      </c>
      <c r="I101" s="10">
        <v>0.0</v>
      </c>
      <c r="J101" s="7">
        <f>I101/I103</f>
        <v>0</v>
      </c>
    </row>
    <row r="102" ht="12.75" customHeight="1">
      <c r="D102" s="7"/>
      <c r="H102" s="8">
        <v>200.0</v>
      </c>
      <c r="I102" s="10">
        <v>0.0</v>
      </c>
      <c r="J102" s="7">
        <f>I102/I103</f>
        <v>0</v>
      </c>
    </row>
    <row r="103" ht="12.75" customHeight="1">
      <c r="I103" s="8">
        <f t="shared" ref="I103:J103" si="9">SUM(I82:I102)</f>
        <v>38</v>
      </c>
      <c r="J103" s="9">
        <f t="shared" si="9"/>
        <v>1</v>
      </c>
    </row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Q125" s="1"/>
      <c r="R125" s="1"/>
    </row>
    <row r="126" ht="12.75" customHeight="1">
      <c r="A126" s="2"/>
      <c r="B126" s="2"/>
      <c r="C126" s="2"/>
      <c r="D126" s="7"/>
      <c r="F126" s="2"/>
      <c r="G126" s="2"/>
      <c r="H126" s="2"/>
      <c r="I126" s="3"/>
      <c r="J126" s="2"/>
      <c r="K126" s="2"/>
      <c r="L126" s="2"/>
      <c r="M126" s="2"/>
      <c r="N126" s="3"/>
      <c r="O126" s="1"/>
      <c r="P126" s="1"/>
      <c r="Q126" s="1"/>
      <c r="R126" s="1"/>
    </row>
    <row r="127" ht="12.75" customHeight="1">
      <c r="A127" s="2"/>
      <c r="B127" s="2"/>
      <c r="C127" s="2"/>
      <c r="D127" s="7"/>
      <c r="F127" s="2"/>
      <c r="G127" s="2"/>
      <c r="H127" s="2"/>
      <c r="I127" s="3"/>
      <c r="J127" s="2"/>
      <c r="K127" s="2"/>
      <c r="L127" s="2"/>
      <c r="M127" s="2"/>
      <c r="N127" s="3"/>
      <c r="O127" s="4"/>
      <c r="P127" s="4"/>
    </row>
    <row r="128" ht="12.75" customHeight="1">
      <c r="A128" s="2"/>
      <c r="B128" s="2"/>
      <c r="C128" s="2"/>
      <c r="D128" s="7"/>
      <c r="F128" s="2"/>
      <c r="G128" s="2"/>
      <c r="H128" s="2"/>
      <c r="I128" s="3"/>
      <c r="J128" s="2"/>
      <c r="K128" s="2"/>
      <c r="L128" s="2"/>
      <c r="M128" s="2"/>
      <c r="N128" s="3"/>
      <c r="O128" s="4"/>
      <c r="P128" s="4"/>
    </row>
    <row r="129" ht="12.75" customHeight="1">
      <c r="A129" s="2"/>
      <c r="B129" s="2"/>
      <c r="C129" s="2"/>
      <c r="D129" s="7"/>
      <c r="F129" s="2"/>
      <c r="G129" s="2"/>
      <c r="H129" s="2"/>
      <c r="I129" s="3"/>
      <c r="J129" s="2"/>
      <c r="K129" s="2"/>
      <c r="L129" s="2"/>
      <c r="M129" s="2"/>
      <c r="N129" s="3"/>
      <c r="O129" s="4"/>
      <c r="P129" s="4"/>
    </row>
    <row r="130" ht="12.75" customHeight="1">
      <c r="A130" s="2"/>
      <c r="B130" s="2"/>
      <c r="C130" s="2"/>
      <c r="D130" s="7"/>
      <c r="F130" s="2"/>
      <c r="G130" s="2"/>
      <c r="H130" s="2"/>
      <c r="I130" s="3"/>
      <c r="J130" s="2"/>
      <c r="K130" s="2"/>
      <c r="L130" s="2"/>
      <c r="M130" s="2"/>
      <c r="N130" s="3"/>
      <c r="O130" s="4"/>
      <c r="P130" s="4"/>
    </row>
    <row r="131" ht="12.75" customHeight="1">
      <c r="A131" s="2"/>
      <c r="B131" s="2"/>
      <c r="C131" s="2"/>
      <c r="D131" s="7"/>
      <c r="F131" s="2"/>
      <c r="G131" s="2"/>
      <c r="H131" s="2"/>
      <c r="I131" s="3"/>
      <c r="J131" s="2"/>
      <c r="K131" s="2"/>
      <c r="L131" s="2"/>
      <c r="M131" s="2"/>
      <c r="N131" s="3"/>
      <c r="O131" s="4"/>
      <c r="P131" s="4"/>
    </row>
    <row r="132" ht="12.75" customHeight="1">
      <c r="A132" s="2"/>
      <c r="B132" s="2"/>
      <c r="C132" s="2"/>
      <c r="D132" s="7"/>
      <c r="F132" s="2"/>
      <c r="G132" s="2"/>
      <c r="H132" s="2"/>
      <c r="I132" s="3"/>
      <c r="J132" s="2"/>
      <c r="K132" s="2"/>
      <c r="L132" s="2"/>
      <c r="M132" s="2"/>
      <c r="N132" s="3"/>
      <c r="O132" s="4"/>
      <c r="P132" s="4"/>
    </row>
    <row r="133" ht="12.75" customHeight="1">
      <c r="A133" s="2"/>
      <c r="B133" s="2"/>
      <c r="C133" s="2"/>
      <c r="D133" s="7"/>
      <c r="F133" s="2"/>
      <c r="G133" s="2"/>
      <c r="H133" s="2"/>
      <c r="I133" s="3"/>
      <c r="J133" s="2"/>
      <c r="K133" s="2"/>
      <c r="L133" s="2"/>
      <c r="M133" s="2"/>
      <c r="N133" s="3"/>
      <c r="O133" s="4"/>
      <c r="P133" s="4"/>
    </row>
    <row r="134" ht="12.75" customHeight="1">
      <c r="A134" s="2"/>
      <c r="B134" s="2"/>
      <c r="C134" s="5"/>
      <c r="D134" s="7"/>
      <c r="F134" s="2"/>
      <c r="G134" s="2"/>
      <c r="H134" s="2"/>
      <c r="I134" s="3"/>
      <c r="J134" s="2"/>
      <c r="K134" s="2"/>
      <c r="L134" s="2"/>
      <c r="M134" s="2"/>
      <c r="N134" s="3"/>
      <c r="O134" s="4"/>
      <c r="P134" s="4"/>
    </row>
    <row r="135" ht="12.75" customHeight="1">
      <c r="A135" s="2"/>
      <c r="B135" s="2"/>
      <c r="C135" s="2"/>
      <c r="D135" s="7"/>
      <c r="F135" s="2"/>
      <c r="G135" s="2"/>
      <c r="H135" s="2"/>
      <c r="I135" s="3"/>
      <c r="J135" s="2"/>
      <c r="K135" s="2"/>
      <c r="L135" s="2"/>
      <c r="M135" s="2"/>
      <c r="N135" s="3"/>
      <c r="O135" s="4"/>
      <c r="P135" s="4"/>
    </row>
    <row r="136" ht="12.75" customHeight="1">
      <c r="A136" s="2"/>
      <c r="B136" s="2"/>
      <c r="C136" s="2"/>
      <c r="D136" s="7"/>
      <c r="F136" s="2"/>
      <c r="G136" s="2"/>
      <c r="H136" s="2"/>
      <c r="I136" s="3"/>
      <c r="J136" s="2"/>
      <c r="K136" s="2"/>
      <c r="L136" s="2"/>
      <c r="M136" s="2"/>
      <c r="N136" s="3"/>
      <c r="O136" s="4"/>
      <c r="P136" s="4"/>
    </row>
    <row r="137" ht="12.75" customHeight="1">
      <c r="A137" s="2"/>
      <c r="B137" s="2"/>
      <c r="C137" s="2"/>
      <c r="D137" s="7"/>
      <c r="F137" s="2"/>
      <c r="G137" s="2"/>
      <c r="H137" s="2"/>
      <c r="I137" s="3"/>
      <c r="J137" s="2"/>
      <c r="K137" s="2"/>
      <c r="L137" s="2"/>
      <c r="M137" s="2"/>
      <c r="N137" s="3"/>
      <c r="O137" s="4"/>
      <c r="P137" s="4"/>
    </row>
    <row r="138" ht="12.75" customHeight="1">
      <c r="A138" s="2"/>
      <c r="B138" s="2"/>
      <c r="C138" s="2"/>
      <c r="D138" s="7"/>
      <c r="F138" s="2"/>
      <c r="G138" s="2"/>
      <c r="H138" s="2"/>
      <c r="I138" s="3"/>
      <c r="J138" s="2"/>
      <c r="K138" s="2"/>
      <c r="L138" s="2"/>
      <c r="M138" s="2"/>
      <c r="N138" s="3"/>
      <c r="O138" s="4"/>
      <c r="P138" s="4"/>
    </row>
    <row r="139" ht="12.75" customHeight="1">
      <c r="A139" s="2"/>
      <c r="B139" s="2"/>
      <c r="C139" s="5"/>
      <c r="D139" s="7"/>
      <c r="F139" s="2"/>
      <c r="G139" s="2"/>
      <c r="H139" s="2"/>
      <c r="I139" s="3"/>
      <c r="J139" s="2"/>
      <c r="K139" s="2"/>
      <c r="L139" s="2"/>
      <c r="M139" s="2"/>
      <c r="N139" s="3"/>
      <c r="O139" s="4"/>
      <c r="P139" s="4"/>
    </row>
    <row r="140" ht="12.75" customHeight="1">
      <c r="A140" s="2"/>
      <c r="B140" s="2"/>
      <c r="C140" s="2"/>
      <c r="D140" s="7"/>
      <c r="F140" s="2"/>
      <c r="G140" s="2"/>
      <c r="H140" s="2"/>
      <c r="I140" s="3"/>
      <c r="J140" s="2"/>
      <c r="K140" s="2"/>
      <c r="L140" s="2"/>
      <c r="M140" s="2"/>
      <c r="N140" s="3"/>
      <c r="O140" s="4"/>
      <c r="P140" s="4"/>
    </row>
    <row r="141" ht="12.75" customHeight="1">
      <c r="A141" s="2"/>
      <c r="B141" s="2"/>
      <c r="C141" s="2"/>
      <c r="D141" s="7"/>
      <c r="F141" s="2"/>
      <c r="G141" s="2"/>
      <c r="H141" s="2"/>
      <c r="I141" s="3"/>
      <c r="J141" s="2"/>
      <c r="K141" s="2"/>
      <c r="L141" s="2"/>
      <c r="M141" s="2"/>
      <c r="N141" s="3"/>
      <c r="O141" s="4"/>
      <c r="P141" s="4"/>
    </row>
    <row r="142" ht="12.75" customHeight="1">
      <c r="A142" s="2"/>
      <c r="B142" s="2"/>
      <c r="C142" s="2"/>
      <c r="D142" s="7"/>
      <c r="F142" s="2"/>
      <c r="G142" s="2"/>
      <c r="H142" s="2"/>
      <c r="I142" s="3"/>
      <c r="J142" s="2"/>
      <c r="K142" s="2"/>
      <c r="L142" s="2"/>
      <c r="M142" s="2"/>
      <c r="N142" s="3"/>
      <c r="O142" s="4"/>
      <c r="P142" s="4"/>
    </row>
    <row r="143" ht="12.75" customHeight="1">
      <c r="A143" s="2"/>
      <c r="B143" s="2"/>
      <c r="C143" s="2"/>
      <c r="D143" s="7"/>
      <c r="F143" s="2"/>
      <c r="G143" s="2"/>
      <c r="H143" s="2"/>
      <c r="I143" s="3"/>
      <c r="J143" s="2"/>
      <c r="K143" s="2"/>
      <c r="L143" s="2"/>
      <c r="M143" s="2"/>
      <c r="N143" s="3"/>
      <c r="O143" s="4"/>
      <c r="P143" s="4"/>
    </row>
    <row r="144" ht="12.75" customHeight="1">
      <c r="A144" s="2"/>
      <c r="B144" s="2"/>
      <c r="C144" s="2"/>
      <c r="D144" s="7"/>
      <c r="F144" s="2"/>
      <c r="G144" s="2"/>
      <c r="H144" s="2"/>
      <c r="I144" s="3"/>
      <c r="J144" s="2"/>
      <c r="K144" s="2"/>
      <c r="L144" s="2"/>
      <c r="M144" s="2"/>
      <c r="N144" s="3"/>
      <c r="O144" s="4"/>
      <c r="P144" s="4"/>
    </row>
    <row r="145" ht="12.75" customHeight="1">
      <c r="A145" s="2"/>
      <c r="B145" s="2"/>
      <c r="C145" s="2"/>
      <c r="D145" s="7"/>
      <c r="F145" s="2"/>
      <c r="G145" s="2"/>
      <c r="H145" s="2"/>
      <c r="I145" s="3"/>
      <c r="J145" s="2"/>
      <c r="K145" s="2"/>
      <c r="L145" s="2"/>
      <c r="M145" s="2"/>
      <c r="N145" s="3"/>
      <c r="O145" s="4"/>
      <c r="P145" s="4"/>
    </row>
    <row r="146" ht="12.75" customHeight="1">
      <c r="A146" s="2"/>
      <c r="B146" s="2"/>
      <c r="C146" s="2"/>
      <c r="D146" s="7"/>
      <c r="F146" s="2"/>
      <c r="G146" s="2"/>
      <c r="H146" s="2"/>
      <c r="I146" s="3"/>
      <c r="J146" s="2"/>
      <c r="K146" s="2"/>
      <c r="L146" s="2"/>
      <c r="M146" s="2"/>
      <c r="N146" s="3"/>
      <c r="O146" s="4"/>
      <c r="P146" s="4"/>
    </row>
    <row r="147" ht="12.75" customHeight="1">
      <c r="A147" s="2"/>
      <c r="B147" s="2"/>
      <c r="C147" s="2"/>
      <c r="D147" s="7"/>
      <c r="F147" s="2"/>
      <c r="G147" s="2"/>
      <c r="H147" s="2"/>
      <c r="I147" s="3"/>
      <c r="J147" s="2"/>
      <c r="K147" s="2"/>
      <c r="L147" s="2"/>
      <c r="M147" s="2"/>
      <c r="N147" s="3"/>
      <c r="O147" s="4"/>
      <c r="P147" s="4"/>
    </row>
    <row r="148" ht="12.75" customHeight="1">
      <c r="A148" s="2"/>
      <c r="B148" s="2"/>
      <c r="C148" s="2"/>
      <c r="D148" s="7"/>
      <c r="F148" s="2"/>
      <c r="G148" s="2"/>
      <c r="H148" s="2"/>
      <c r="I148" s="3"/>
      <c r="J148" s="2"/>
      <c r="K148" s="2"/>
      <c r="L148" s="2"/>
      <c r="M148" s="2"/>
      <c r="N148" s="3"/>
      <c r="O148" s="4"/>
      <c r="P148" s="4"/>
    </row>
    <row r="149" ht="12.75" customHeight="1">
      <c r="A149" s="2"/>
      <c r="B149" s="2"/>
      <c r="C149" s="2"/>
      <c r="D149" s="7"/>
      <c r="F149" s="2"/>
      <c r="G149" s="2"/>
      <c r="H149" s="2"/>
      <c r="I149" s="3"/>
      <c r="J149" s="2"/>
      <c r="K149" s="2"/>
      <c r="L149" s="2"/>
      <c r="M149" s="2"/>
      <c r="N149" s="3"/>
      <c r="O149" s="4"/>
      <c r="P149" s="4"/>
    </row>
    <row r="150" ht="12.75" customHeight="1">
      <c r="A150" s="2"/>
      <c r="B150" s="2"/>
      <c r="C150" s="2"/>
      <c r="D150" s="7"/>
      <c r="F150" s="2"/>
      <c r="G150" s="2"/>
      <c r="H150" s="2"/>
      <c r="I150" s="3"/>
      <c r="J150" s="2"/>
      <c r="K150" s="2"/>
      <c r="L150" s="2"/>
      <c r="M150" s="2"/>
      <c r="N150" s="3"/>
      <c r="O150" s="4"/>
      <c r="P150" s="4"/>
    </row>
    <row r="151" ht="12.75" customHeight="1">
      <c r="A151" s="2"/>
      <c r="B151" s="2"/>
      <c r="C151" s="2"/>
      <c r="D151" s="7"/>
      <c r="F151" s="2"/>
      <c r="G151" s="2"/>
      <c r="H151" s="2"/>
      <c r="I151" s="3"/>
      <c r="J151" s="2"/>
      <c r="K151" s="2"/>
      <c r="L151" s="2"/>
      <c r="M151" s="2"/>
      <c r="N151" s="3"/>
      <c r="O151" s="4"/>
      <c r="P151" s="4"/>
    </row>
    <row r="152" ht="12.75" customHeight="1">
      <c r="A152" s="2"/>
      <c r="B152" s="2"/>
      <c r="C152" s="2"/>
      <c r="D152" s="7"/>
      <c r="F152" s="2"/>
      <c r="G152" s="2"/>
      <c r="H152" s="2"/>
      <c r="I152" s="3"/>
      <c r="J152" s="2"/>
      <c r="K152" s="2"/>
      <c r="L152" s="2"/>
      <c r="M152" s="2"/>
      <c r="N152" s="3"/>
      <c r="O152" s="4"/>
      <c r="P152" s="4"/>
    </row>
    <row r="153" ht="12.75" customHeight="1">
      <c r="A153" s="2"/>
      <c r="B153" s="2"/>
      <c r="C153" s="2"/>
      <c r="D153" s="7"/>
      <c r="F153" s="2"/>
      <c r="G153" s="2"/>
      <c r="H153" s="2"/>
      <c r="I153" s="3"/>
      <c r="J153" s="2"/>
      <c r="K153" s="2"/>
      <c r="L153" s="2"/>
      <c r="M153" s="2"/>
      <c r="N153" s="3"/>
      <c r="O153" s="4"/>
      <c r="P153" s="4"/>
    </row>
    <row r="154" ht="12.75" customHeight="1">
      <c r="A154" s="2"/>
      <c r="B154" s="2"/>
      <c r="C154" s="2"/>
      <c r="D154" s="7"/>
      <c r="F154" s="2"/>
      <c r="G154" s="2"/>
      <c r="H154" s="2"/>
      <c r="I154" s="3"/>
      <c r="J154" s="2"/>
      <c r="K154" s="2"/>
      <c r="L154" s="2"/>
      <c r="M154" s="2"/>
      <c r="N154" s="3"/>
      <c r="O154" s="4"/>
      <c r="P154" s="4"/>
    </row>
    <row r="155" ht="12.75" customHeight="1">
      <c r="A155" s="2"/>
      <c r="B155" s="2"/>
      <c r="C155" s="2"/>
      <c r="D155" s="7"/>
      <c r="F155" s="2"/>
      <c r="G155" s="2"/>
      <c r="H155" s="2"/>
      <c r="I155" s="3"/>
      <c r="J155" s="2"/>
      <c r="K155" s="2"/>
      <c r="L155" s="2"/>
      <c r="M155" s="2"/>
      <c r="N155" s="3"/>
      <c r="O155" s="4"/>
      <c r="P155" s="4"/>
    </row>
    <row r="156" ht="12.75" customHeight="1">
      <c r="A156" s="2"/>
      <c r="B156" s="2"/>
      <c r="C156" s="2"/>
      <c r="D156" s="7"/>
      <c r="F156" s="2"/>
      <c r="G156" s="2"/>
      <c r="H156" s="2"/>
      <c r="I156" s="3"/>
      <c r="J156" s="2"/>
      <c r="K156" s="2"/>
      <c r="L156" s="2"/>
      <c r="M156" s="2"/>
      <c r="N156" s="3"/>
      <c r="O156" s="4"/>
      <c r="P156" s="4"/>
    </row>
    <row r="157" ht="12.75" customHeight="1">
      <c r="A157" s="2"/>
      <c r="B157" s="2"/>
      <c r="C157" s="5"/>
      <c r="D157" s="7"/>
      <c r="F157" s="2"/>
      <c r="G157" s="2"/>
      <c r="H157" s="2"/>
      <c r="I157" s="3"/>
      <c r="J157" s="2"/>
      <c r="K157" s="2"/>
      <c r="L157" s="2"/>
      <c r="M157" s="2"/>
      <c r="N157" s="3"/>
      <c r="O157" s="4"/>
      <c r="P157" s="4"/>
    </row>
    <row r="158" ht="12.75" customHeight="1">
      <c r="A158" s="2"/>
      <c r="B158" s="2"/>
      <c r="C158" s="2"/>
      <c r="D158" s="7"/>
      <c r="F158" s="2"/>
      <c r="G158" s="2"/>
      <c r="H158" s="2"/>
      <c r="I158" s="3"/>
      <c r="J158" s="2"/>
      <c r="K158" s="2"/>
      <c r="L158" s="2"/>
      <c r="M158" s="2"/>
      <c r="N158" s="3"/>
      <c r="O158" s="4"/>
      <c r="P158" s="4"/>
    </row>
    <row r="159" ht="12.75" customHeight="1">
      <c r="A159" s="2"/>
      <c r="B159" s="2"/>
      <c r="C159" s="2"/>
      <c r="D159" s="7"/>
      <c r="F159" s="2"/>
      <c r="G159" s="2"/>
      <c r="H159" s="2"/>
      <c r="I159" s="3"/>
      <c r="J159" s="2"/>
      <c r="K159" s="2"/>
      <c r="L159" s="2"/>
      <c r="M159" s="2"/>
      <c r="N159" s="3"/>
      <c r="O159" s="4"/>
      <c r="P159" s="4"/>
    </row>
    <row r="160" ht="12.75" customHeight="1">
      <c r="A160" s="2"/>
      <c r="B160" s="2"/>
      <c r="C160" s="2"/>
      <c r="D160" s="7"/>
      <c r="F160" s="2"/>
      <c r="G160" s="2"/>
      <c r="H160" s="2"/>
      <c r="I160" s="3"/>
      <c r="J160" s="2"/>
      <c r="K160" s="2"/>
      <c r="L160" s="2"/>
      <c r="M160" s="2"/>
      <c r="N160" s="3"/>
      <c r="O160" s="4"/>
      <c r="P160" s="4"/>
    </row>
    <row r="161" ht="12.75" customHeight="1">
      <c r="A161" s="2"/>
      <c r="B161" s="2"/>
      <c r="C161" s="2"/>
      <c r="D161" s="7"/>
      <c r="F161" s="2"/>
      <c r="G161" s="2"/>
      <c r="H161" s="2"/>
      <c r="I161" s="3"/>
      <c r="J161" s="2"/>
      <c r="K161" s="2"/>
      <c r="L161" s="2"/>
      <c r="M161" s="2"/>
      <c r="N161" s="3"/>
      <c r="O161" s="4"/>
      <c r="P161" s="4"/>
    </row>
    <row r="162" ht="12.75" customHeight="1">
      <c r="A162" s="2"/>
      <c r="B162" s="2"/>
      <c r="C162" s="2"/>
      <c r="D162" s="7"/>
      <c r="F162" s="2"/>
      <c r="G162" s="2"/>
      <c r="H162" s="2"/>
      <c r="I162" s="3"/>
      <c r="J162" s="2"/>
      <c r="K162" s="2"/>
      <c r="L162" s="2"/>
      <c r="M162" s="2"/>
      <c r="N162" s="3"/>
      <c r="O162" s="4"/>
      <c r="P162" s="4"/>
    </row>
    <row r="163" ht="12.75" customHeight="1">
      <c r="A163" s="2"/>
      <c r="B163" s="2"/>
      <c r="C163" s="2"/>
      <c r="D163" s="7"/>
      <c r="F163" s="2"/>
      <c r="G163" s="2"/>
      <c r="H163" s="2"/>
      <c r="I163" s="3"/>
      <c r="J163" s="2"/>
      <c r="K163" s="2"/>
      <c r="L163" s="2"/>
      <c r="M163" s="2"/>
      <c r="N163" s="3"/>
      <c r="O163" s="4"/>
      <c r="P163" s="4"/>
    </row>
    <row r="164" ht="12.75" customHeight="1">
      <c r="O164" s="4"/>
      <c r="P164" s="4"/>
    </row>
    <row r="165" ht="12.75" customHeight="1">
      <c r="B165" s="1"/>
    </row>
    <row r="166" ht="12.75" customHeight="1">
      <c r="B166" s="2"/>
      <c r="C166" s="3"/>
      <c r="E166" s="3"/>
      <c r="F166" s="3"/>
      <c r="G166" s="7"/>
    </row>
    <row r="167" ht="12.75" customHeight="1">
      <c r="B167" s="2"/>
      <c r="C167" s="3"/>
      <c r="E167" s="3"/>
      <c r="F167" s="3"/>
      <c r="G167" s="7"/>
    </row>
    <row r="168" ht="12.75" customHeight="1">
      <c r="B168" s="2"/>
      <c r="C168" s="3"/>
      <c r="E168" s="3"/>
      <c r="F168" s="3"/>
      <c r="G168" s="7"/>
    </row>
    <row r="169" ht="12.75" customHeight="1">
      <c r="B169" s="2"/>
      <c r="C169" s="3"/>
      <c r="E169" s="3"/>
      <c r="F169" s="3"/>
      <c r="G169" s="7"/>
    </row>
    <row r="170" ht="12.75" customHeight="1">
      <c r="B170" s="2"/>
      <c r="C170" s="3"/>
      <c r="E170" s="3"/>
      <c r="F170" s="3"/>
      <c r="G170" s="7"/>
    </row>
    <row r="171" ht="12.75" customHeight="1">
      <c r="B171" s="2"/>
      <c r="C171" s="3"/>
      <c r="E171" s="3"/>
      <c r="F171" s="3"/>
      <c r="G171" s="7"/>
    </row>
    <row r="172" ht="12.75" customHeight="1">
      <c r="B172" s="2"/>
      <c r="C172" s="3"/>
      <c r="E172" s="3"/>
      <c r="F172" s="3"/>
      <c r="G172" s="7"/>
    </row>
    <row r="173" ht="12.75" customHeight="1">
      <c r="B173" s="2"/>
      <c r="C173" s="3"/>
      <c r="E173" s="3"/>
      <c r="F173" s="3"/>
      <c r="G173" s="7"/>
    </row>
    <row r="174" ht="12.75" customHeight="1">
      <c r="B174" s="2"/>
      <c r="C174" s="3"/>
      <c r="E174" s="3"/>
      <c r="F174" s="3"/>
      <c r="G174" s="7"/>
    </row>
    <row r="175" ht="12.75" customHeight="1">
      <c r="B175" s="2"/>
      <c r="C175" s="3"/>
      <c r="E175" s="3"/>
      <c r="F175" s="3"/>
      <c r="G175" s="7"/>
    </row>
    <row r="176" ht="12.75" customHeight="1">
      <c r="B176" s="2"/>
      <c r="C176" s="3"/>
      <c r="E176" s="3"/>
      <c r="F176" s="3"/>
      <c r="G176" s="7"/>
    </row>
    <row r="177" ht="12.75" customHeight="1">
      <c r="B177" s="2"/>
      <c r="C177" s="3"/>
      <c r="E177" s="3"/>
      <c r="F177" s="3"/>
      <c r="G177" s="7"/>
    </row>
    <row r="178" ht="12.75" customHeight="1">
      <c r="B178" s="2"/>
      <c r="C178" s="3"/>
      <c r="E178" s="3"/>
      <c r="F178" s="3"/>
      <c r="G178" s="7"/>
    </row>
    <row r="179" ht="12.75" customHeight="1">
      <c r="B179" s="2"/>
      <c r="C179" s="3"/>
      <c r="E179" s="3"/>
      <c r="F179" s="3"/>
      <c r="G179" s="7"/>
    </row>
    <row r="180" ht="12.75" customHeight="1">
      <c r="B180" s="2"/>
      <c r="C180" s="3"/>
      <c r="E180" s="3"/>
      <c r="F180" s="3"/>
      <c r="G180" s="7"/>
    </row>
    <row r="181" ht="12.75" customHeight="1">
      <c r="B181" s="2"/>
      <c r="C181" s="3"/>
      <c r="E181" s="3"/>
      <c r="F181" s="3"/>
      <c r="G181" s="7"/>
    </row>
    <row r="182" ht="12.75" customHeight="1">
      <c r="B182" s="2"/>
      <c r="C182" s="3"/>
      <c r="E182" s="3"/>
      <c r="F182" s="3"/>
      <c r="G182" s="7"/>
    </row>
    <row r="183" ht="12.75" customHeight="1">
      <c r="B183" s="2"/>
      <c r="C183" s="3"/>
      <c r="E183" s="3"/>
      <c r="F183" s="3"/>
      <c r="G183" s="7"/>
    </row>
    <row r="184" ht="12.75" customHeight="1">
      <c r="B184" s="2"/>
      <c r="C184" s="3"/>
      <c r="E184" s="3"/>
      <c r="F184" s="3"/>
      <c r="G184" s="7"/>
    </row>
    <row r="185" ht="12.75" customHeight="1">
      <c r="B185" s="2"/>
      <c r="C185" s="3"/>
      <c r="E185" s="3"/>
      <c r="F185" s="3"/>
      <c r="G185" s="7"/>
    </row>
    <row r="186" ht="12.75" customHeight="1">
      <c r="B186" s="2"/>
      <c r="C186" s="3"/>
      <c r="E186" s="3"/>
      <c r="F186" s="3"/>
      <c r="G186" s="7"/>
    </row>
    <row r="187" ht="12.75" customHeight="1">
      <c r="B187" s="2"/>
      <c r="C187" s="3"/>
      <c r="E187" s="3"/>
      <c r="F187" s="3"/>
      <c r="G187" s="7"/>
    </row>
    <row r="188" ht="12.75" customHeight="1">
      <c r="B188" s="2"/>
      <c r="C188" s="3"/>
      <c r="E188" s="3"/>
      <c r="F188" s="3"/>
      <c r="G188" s="7"/>
    </row>
    <row r="189" ht="12.75" customHeight="1">
      <c r="B189" s="2"/>
      <c r="C189" s="3"/>
      <c r="E189" s="3"/>
      <c r="F189" s="3"/>
      <c r="G189" s="7"/>
    </row>
    <row r="190" ht="12.75" customHeight="1">
      <c r="B190" s="2"/>
      <c r="C190" s="3"/>
      <c r="E190" s="3"/>
      <c r="F190" s="3"/>
      <c r="G190" s="7"/>
    </row>
    <row r="191" ht="12.75" customHeight="1">
      <c r="B191" s="2"/>
      <c r="C191" s="3"/>
      <c r="E191" s="3"/>
      <c r="F191" s="3"/>
      <c r="G191" s="7"/>
    </row>
    <row r="192" ht="12.75" customHeight="1">
      <c r="B192" s="2"/>
      <c r="C192" s="3"/>
      <c r="E192" s="3"/>
      <c r="F192" s="3"/>
      <c r="G192" s="7"/>
    </row>
    <row r="193" ht="12.75" customHeight="1">
      <c r="B193" s="2"/>
      <c r="C193" s="3"/>
      <c r="E193" s="3"/>
      <c r="F193" s="3"/>
      <c r="G193" s="7"/>
    </row>
    <row r="194" ht="12.75" customHeight="1">
      <c r="B194" s="2"/>
      <c r="C194" s="3"/>
      <c r="E194" s="3"/>
      <c r="F194" s="3"/>
      <c r="G194" s="7"/>
    </row>
    <row r="195" ht="12.75" customHeight="1">
      <c r="B195" s="2"/>
      <c r="C195" s="3"/>
      <c r="E195" s="3"/>
      <c r="F195" s="3"/>
      <c r="G195" s="7"/>
    </row>
    <row r="196" ht="12.75" customHeight="1">
      <c r="B196" s="2"/>
      <c r="C196" s="3"/>
      <c r="E196" s="3"/>
      <c r="F196" s="3"/>
      <c r="G196" s="7"/>
    </row>
    <row r="197" ht="12.75" customHeight="1">
      <c r="B197" s="2"/>
      <c r="C197" s="3"/>
      <c r="E197" s="3"/>
      <c r="F197" s="3"/>
      <c r="G197" s="7"/>
    </row>
    <row r="198" ht="12.75" customHeight="1">
      <c r="B198" s="2"/>
      <c r="C198" s="3"/>
      <c r="E198" s="3"/>
      <c r="F198" s="3"/>
      <c r="G198" s="7"/>
    </row>
    <row r="199" ht="12.75" customHeight="1">
      <c r="B199" s="2"/>
      <c r="C199" s="3"/>
      <c r="E199" s="3"/>
      <c r="F199" s="3"/>
      <c r="G199" s="7"/>
    </row>
    <row r="200" ht="12.75" customHeight="1">
      <c r="B200" s="2"/>
      <c r="C200" s="3"/>
      <c r="E200" s="3"/>
      <c r="F200" s="3"/>
      <c r="G200" s="7"/>
    </row>
    <row r="201" ht="12.75" customHeight="1">
      <c r="B201" s="2"/>
      <c r="C201" s="3"/>
      <c r="E201" s="3"/>
      <c r="F201" s="3"/>
      <c r="G201" s="7"/>
    </row>
    <row r="202" ht="12.75" customHeight="1">
      <c r="B202" s="2"/>
      <c r="C202" s="3"/>
      <c r="E202" s="3"/>
      <c r="F202" s="3"/>
      <c r="G202" s="7"/>
    </row>
    <row r="203" ht="12.75" customHeight="1">
      <c r="B203" s="2"/>
      <c r="C203" s="3"/>
      <c r="E203" s="3"/>
      <c r="F203" s="3"/>
      <c r="G203" s="7"/>
    </row>
    <row r="204" ht="12.75" customHeight="1"/>
    <row r="205" ht="12.75" customHeight="1"/>
    <row r="206" ht="12.75" customHeight="1">
      <c r="D206" s="7"/>
      <c r="F206" s="7"/>
      <c r="G206" s="7"/>
    </row>
    <row r="207" ht="12.75" customHeight="1">
      <c r="D207" s="7"/>
    </row>
    <row r="208" ht="12.75" customHeight="1">
      <c r="D208" s="7"/>
    </row>
    <row r="209" ht="12.75" customHeight="1">
      <c r="D209" s="7"/>
    </row>
    <row r="210" ht="12.75" customHeight="1">
      <c r="D210" s="7"/>
    </row>
    <row r="211" ht="12.75" customHeight="1">
      <c r="D211" s="7"/>
    </row>
    <row r="212" ht="12.75" customHeight="1">
      <c r="D212" s="7"/>
    </row>
    <row r="213" ht="12.75" customHeight="1">
      <c r="D213" s="7"/>
    </row>
    <row r="214" ht="12.75" customHeight="1">
      <c r="D214" s="7"/>
    </row>
    <row r="215" ht="12.75" customHeight="1">
      <c r="D215" s="7"/>
    </row>
    <row r="216" ht="12.75" customHeight="1">
      <c r="D216" s="7"/>
    </row>
    <row r="217" ht="12.75" customHeight="1">
      <c r="D217" s="7"/>
    </row>
    <row r="218" ht="12.75" customHeight="1">
      <c r="D218" s="7"/>
    </row>
    <row r="219" ht="12.75" customHeight="1">
      <c r="D219" s="7"/>
    </row>
    <row r="220" ht="12.75" customHeight="1">
      <c r="D220" s="7"/>
    </row>
    <row r="221" ht="12.75" customHeight="1">
      <c r="D221" s="7"/>
    </row>
    <row r="222" ht="12.75" customHeight="1">
      <c r="D222" s="7"/>
    </row>
    <row r="223" ht="12.75" customHeight="1">
      <c r="D223" s="7"/>
    </row>
    <row r="224" ht="12.75" customHeight="1">
      <c r="D224" s="7"/>
    </row>
    <row r="225" ht="12.75" customHeight="1">
      <c r="D225" s="7"/>
    </row>
    <row r="226" ht="12.75" customHeight="1">
      <c r="D226" s="7"/>
    </row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Q249" s="1"/>
      <c r="R249" s="1"/>
    </row>
    <row r="250" ht="12.75" customHeight="1">
      <c r="A250" s="2"/>
      <c r="B250" s="2"/>
      <c r="C250" s="2"/>
      <c r="D250" s="7"/>
      <c r="F250" s="2"/>
      <c r="G250" s="2"/>
      <c r="H250" s="2"/>
      <c r="I250" s="3"/>
      <c r="K250" s="2"/>
      <c r="L250" s="2"/>
      <c r="M250" s="2"/>
      <c r="N250" s="3"/>
      <c r="O250" s="1"/>
      <c r="P250" s="1"/>
      <c r="Q250" s="1"/>
      <c r="R250" s="1"/>
    </row>
    <row r="251" ht="12.75" customHeight="1">
      <c r="A251" s="2"/>
      <c r="B251" s="2"/>
      <c r="C251" s="2"/>
      <c r="D251" s="7"/>
      <c r="F251" s="2"/>
      <c r="G251" s="2"/>
      <c r="H251" s="2"/>
      <c r="I251" s="3"/>
      <c r="K251" s="2"/>
      <c r="L251" s="2"/>
      <c r="M251" s="2"/>
      <c r="N251" s="3"/>
      <c r="O251" s="4"/>
      <c r="P251" s="4"/>
    </row>
    <row r="252" ht="12.75" customHeight="1">
      <c r="A252" s="2"/>
      <c r="B252" s="2"/>
      <c r="C252" s="2"/>
      <c r="D252" s="7"/>
      <c r="F252" s="2"/>
      <c r="G252" s="2"/>
      <c r="H252" s="2"/>
      <c r="I252" s="3"/>
      <c r="K252" s="2"/>
      <c r="L252" s="2"/>
      <c r="M252" s="2"/>
      <c r="N252" s="3"/>
      <c r="O252" s="4"/>
      <c r="P252" s="4"/>
    </row>
    <row r="253" ht="12.75" customHeight="1">
      <c r="A253" s="2"/>
      <c r="B253" s="2"/>
      <c r="C253" s="2"/>
      <c r="D253" s="7"/>
      <c r="F253" s="2"/>
      <c r="G253" s="2"/>
      <c r="H253" s="2"/>
      <c r="I253" s="3"/>
      <c r="K253" s="2"/>
      <c r="L253" s="2"/>
      <c r="M253" s="2"/>
      <c r="N253" s="3"/>
      <c r="O253" s="4"/>
      <c r="P253" s="4"/>
    </row>
    <row r="254" ht="12.75" customHeight="1">
      <c r="A254" s="2"/>
      <c r="B254" s="2"/>
      <c r="C254" s="2"/>
      <c r="D254" s="7"/>
      <c r="F254" s="2"/>
      <c r="G254" s="2"/>
      <c r="H254" s="2"/>
      <c r="I254" s="3"/>
      <c r="K254" s="2"/>
      <c r="L254" s="2"/>
      <c r="M254" s="2"/>
      <c r="N254" s="3"/>
      <c r="O254" s="4"/>
      <c r="P254" s="4"/>
    </row>
    <row r="255" ht="12.75" customHeight="1">
      <c r="A255" s="2"/>
      <c r="B255" s="2"/>
      <c r="C255" s="2"/>
      <c r="D255" s="7"/>
      <c r="F255" s="2"/>
      <c r="G255" s="2"/>
      <c r="H255" s="2"/>
      <c r="I255" s="3"/>
      <c r="K255" s="2"/>
      <c r="L255" s="2"/>
      <c r="M255" s="2"/>
      <c r="N255" s="3"/>
      <c r="O255" s="4"/>
      <c r="P255" s="4"/>
    </row>
    <row r="256" ht="12.75" customHeight="1">
      <c r="A256" s="2"/>
      <c r="B256" s="2"/>
      <c r="C256" s="2"/>
      <c r="D256" s="7"/>
      <c r="F256" s="2"/>
      <c r="G256" s="2"/>
      <c r="H256" s="2"/>
      <c r="I256" s="3"/>
      <c r="K256" s="2"/>
      <c r="L256" s="2"/>
      <c r="M256" s="2"/>
      <c r="N256" s="3"/>
      <c r="O256" s="4"/>
      <c r="P256" s="4"/>
    </row>
    <row r="257" ht="12.75" customHeight="1">
      <c r="A257" s="2"/>
      <c r="B257" s="2"/>
      <c r="C257" s="2"/>
      <c r="D257" s="7"/>
      <c r="F257" s="2"/>
      <c r="G257" s="2"/>
      <c r="H257" s="2"/>
      <c r="I257" s="3"/>
      <c r="K257" s="2"/>
      <c r="L257" s="2"/>
      <c r="M257" s="2"/>
      <c r="N257" s="3"/>
      <c r="O257" s="4"/>
      <c r="P257" s="4"/>
    </row>
    <row r="258" ht="12.75" customHeight="1">
      <c r="A258" s="2"/>
      <c r="B258" s="2"/>
      <c r="C258" s="5"/>
      <c r="D258" s="7"/>
      <c r="F258" s="2"/>
      <c r="G258" s="2"/>
      <c r="H258" s="2"/>
      <c r="I258" s="3"/>
      <c r="K258" s="2"/>
      <c r="L258" s="2"/>
      <c r="M258" s="2"/>
      <c r="N258" s="3"/>
      <c r="O258" s="4"/>
      <c r="P258" s="4"/>
    </row>
    <row r="259" ht="12.75" customHeight="1">
      <c r="A259" s="2"/>
      <c r="B259" s="2"/>
      <c r="C259" s="2"/>
      <c r="D259" s="7"/>
      <c r="F259" s="2"/>
      <c r="G259" s="2"/>
      <c r="H259" s="2"/>
      <c r="I259" s="3"/>
      <c r="K259" s="2"/>
      <c r="L259" s="2"/>
      <c r="M259" s="2"/>
      <c r="N259" s="3"/>
      <c r="O259" s="4"/>
      <c r="P259" s="4"/>
    </row>
    <row r="260" ht="12.75" customHeight="1">
      <c r="A260" s="2"/>
      <c r="B260" s="2"/>
      <c r="C260" s="2"/>
      <c r="D260" s="7"/>
      <c r="F260" s="2"/>
      <c r="G260" s="2"/>
      <c r="H260" s="2"/>
      <c r="I260" s="3"/>
      <c r="K260" s="2"/>
      <c r="L260" s="2"/>
      <c r="M260" s="2"/>
      <c r="N260" s="3"/>
      <c r="O260" s="4"/>
      <c r="P260" s="4"/>
    </row>
    <row r="261" ht="12.75" customHeight="1">
      <c r="A261" s="2"/>
      <c r="B261" s="2"/>
      <c r="C261" s="2"/>
      <c r="D261" s="7"/>
      <c r="F261" s="2"/>
      <c r="G261" s="2"/>
      <c r="H261" s="2"/>
      <c r="I261" s="3"/>
      <c r="K261" s="2"/>
      <c r="L261" s="2"/>
      <c r="M261" s="2"/>
      <c r="N261" s="3"/>
      <c r="O261" s="4"/>
      <c r="P261" s="4"/>
    </row>
    <row r="262" ht="12.75" customHeight="1">
      <c r="A262" s="2"/>
      <c r="B262" s="2"/>
      <c r="C262" s="2"/>
      <c r="D262" s="7"/>
      <c r="F262" s="2"/>
      <c r="G262" s="2"/>
      <c r="H262" s="2"/>
      <c r="I262" s="3"/>
      <c r="K262" s="2"/>
      <c r="L262" s="2"/>
      <c r="M262" s="2"/>
      <c r="N262" s="3"/>
      <c r="O262" s="4"/>
      <c r="P262" s="4"/>
    </row>
    <row r="263" ht="12.75" customHeight="1">
      <c r="A263" s="2"/>
      <c r="B263" s="2"/>
      <c r="C263" s="5"/>
      <c r="D263" s="7"/>
      <c r="F263" s="2"/>
      <c r="G263" s="2"/>
      <c r="H263" s="5"/>
      <c r="I263" s="3"/>
      <c r="K263" s="2"/>
      <c r="L263" s="2"/>
      <c r="M263" s="2"/>
      <c r="N263" s="3"/>
      <c r="O263" s="4"/>
      <c r="P263" s="4"/>
    </row>
    <row r="264" ht="12.75" customHeight="1">
      <c r="A264" s="2"/>
      <c r="B264" s="2"/>
      <c r="C264" s="2"/>
      <c r="D264" s="7"/>
      <c r="F264" s="2"/>
      <c r="G264" s="2"/>
      <c r="H264" s="2"/>
      <c r="I264" s="3"/>
      <c r="K264" s="2"/>
      <c r="L264" s="2"/>
      <c r="M264" s="2"/>
      <c r="N264" s="3"/>
      <c r="O264" s="4"/>
      <c r="P264" s="4"/>
    </row>
    <row r="265" ht="12.75" customHeight="1">
      <c r="A265" s="2"/>
      <c r="B265" s="2"/>
      <c r="C265" s="2"/>
      <c r="D265" s="7"/>
      <c r="F265" s="2"/>
      <c r="G265" s="2"/>
      <c r="H265" s="2"/>
      <c r="I265" s="3"/>
      <c r="K265" s="2"/>
      <c r="L265" s="2"/>
      <c r="M265" s="2"/>
      <c r="N265" s="3"/>
      <c r="O265" s="4"/>
      <c r="P265" s="4"/>
    </row>
    <row r="266" ht="12.75" customHeight="1">
      <c r="A266" s="2"/>
      <c r="B266" s="2"/>
      <c r="C266" s="2"/>
      <c r="D266" s="7"/>
      <c r="F266" s="2"/>
      <c r="G266" s="2"/>
      <c r="H266" s="2"/>
      <c r="I266" s="3"/>
      <c r="K266" s="2"/>
      <c r="L266" s="2"/>
      <c r="M266" s="2"/>
      <c r="N266" s="3"/>
      <c r="O266" s="4"/>
      <c r="P266" s="4"/>
    </row>
    <row r="267" ht="12.75" customHeight="1">
      <c r="A267" s="2"/>
      <c r="B267" s="2"/>
      <c r="C267" s="2"/>
      <c r="D267" s="7"/>
      <c r="F267" s="2"/>
      <c r="G267" s="2"/>
      <c r="H267" s="2"/>
      <c r="I267" s="3"/>
      <c r="K267" s="2"/>
      <c r="L267" s="2"/>
      <c r="M267" s="2"/>
      <c r="N267" s="3"/>
      <c r="O267" s="4"/>
      <c r="P267" s="4"/>
    </row>
    <row r="268" ht="12.75" customHeight="1">
      <c r="A268" s="2"/>
      <c r="B268" s="2"/>
      <c r="C268" s="2"/>
      <c r="D268" s="7"/>
      <c r="F268" s="2"/>
      <c r="G268" s="2"/>
      <c r="H268" s="2"/>
      <c r="I268" s="3"/>
      <c r="K268" s="2"/>
      <c r="L268" s="2"/>
      <c r="M268" s="2"/>
      <c r="N268" s="3"/>
      <c r="O268" s="4"/>
      <c r="P268" s="4"/>
    </row>
    <row r="269" ht="12.75" customHeight="1">
      <c r="A269" s="2"/>
      <c r="B269" s="2"/>
      <c r="C269" s="2"/>
      <c r="D269" s="7"/>
      <c r="F269" s="2"/>
      <c r="G269" s="2"/>
      <c r="H269" s="2"/>
      <c r="I269" s="3"/>
      <c r="K269" s="2"/>
      <c r="L269" s="2"/>
      <c r="M269" s="2"/>
      <c r="N269" s="3"/>
      <c r="O269" s="4"/>
      <c r="P269" s="4"/>
    </row>
    <row r="270" ht="12.75" customHeight="1">
      <c r="A270" s="2"/>
      <c r="B270" s="2"/>
      <c r="C270" s="2"/>
      <c r="D270" s="7"/>
      <c r="F270" s="2"/>
      <c r="G270" s="2"/>
      <c r="H270" s="2"/>
      <c r="I270" s="3"/>
      <c r="K270" s="2"/>
      <c r="L270" s="2"/>
      <c r="M270" s="2"/>
      <c r="N270" s="3"/>
      <c r="O270" s="4"/>
      <c r="P270" s="4"/>
    </row>
    <row r="271" ht="12.75" customHeight="1">
      <c r="A271" s="2"/>
      <c r="B271" s="2"/>
      <c r="C271" s="2"/>
      <c r="D271" s="7"/>
      <c r="F271" s="2"/>
      <c r="G271" s="2"/>
      <c r="H271" s="2"/>
      <c r="I271" s="3"/>
      <c r="K271" s="2"/>
      <c r="L271" s="2"/>
      <c r="M271" s="2"/>
      <c r="N271" s="3"/>
      <c r="O271" s="4"/>
      <c r="P271" s="4"/>
    </row>
    <row r="272" ht="12.75" customHeight="1">
      <c r="A272" s="2"/>
      <c r="B272" s="2"/>
      <c r="C272" s="2"/>
      <c r="D272" s="7"/>
      <c r="F272" s="2"/>
      <c r="G272" s="2"/>
      <c r="H272" s="2"/>
      <c r="I272" s="3"/>
      <c r="K272" s="2"/>
      <c r="L272" s="2"/>
      <c r="M272" s="2"/>
      <c r="N272" s="3"/>
      <c r="O272" s="4"/>
      <c r="P272" s="4"/>
    </row>
    <row r="273" ht="12.75" customHeight="1">
      <c r="A273" s="2"/>
      <c r="B273" s="2"/>
      <c r="C273" s="2"/>
      <c r="D273" s="7"/>
      <c r="F273" s="2"/>
      <c r="G273" s="2"/>
      <c r="H273" s="2"/>
      <c r="I273" s="3"/>
      <c r="K273" s="2"/>
      <c r="L273" s="2"/>
      <c r="M273" s="2"/>
      <c r="N273" s="3"/>
      <c r="O273" s="4"/>
      <c r="P273" s="4"/>
    </row>
    <row r="274" ht="12.75" customHeight="1">
      <c r="A274" s="2"/>
      <c r="B274" s="2"/>
      <c r="C274" s="2"/>
      <c r="D274" s="7"/>
      <c r="F274" s="2"/>
      <c r="G274" s="2"/>
      <c r="H274" s="2"/>
      <c r="I274" s="3"/>
      <c r="K274" s="2"/>
      <c r="L274" s="2"/>
      <c r="M274" s="2"/>
      <c r="N274" s="3"/>
      <c r="O274" s="4"/>
      <c r="P274" s="4"/>
    </row>
    <row r="275" ht="12.75" customHeight="1">
      <c r="A275" s="2"/>
      <c r="B275" s="2"/>
      <c r="C275" s="2"/>
      <c r="D275" s="7"/>
      <c r="F275" s="2"/>
      <c r="G275" s="2"/>
      <c r="H275" s="2"/>
      <c r="I275" s="3"/>
      <c r="K275" s="2"/>
      <c r="L275" s="2"/>
      <c r="M275" s="2"/>
      <c r="N275" s="3"/>
      <c r="O275" s="4"/>
      <c r="P275" s="4"/>
    </row>
    <row r="276" ht="12.75" customHeight="1">
      <c r="A276" s="2"/>
      <c r="B276" s="2"/>
      <c r="C276" s="2"/>
      <c r="D276" s="7"/>
      <c r="F276" s="2"/>
      <c r="G276" s="2"/>
      <c r="H276" s="2"/>
      <c r="I276" s="3"/>
      <c r="K276" s="2"/>
      <c r="L276" s="2"/>
      <c r="M276" s="2"/>
      <c r="N276" s="3"/>
      <c r="O276" s="4"/>
      <c r="P276" s="4"/>
    </row>
    <row r="277" ht="12.75" customHeight="1">
      <c r="A277" s="2"/>
      <c r="B277" s="2"/>
      <c r="C277" s="2"/>
      <c r="D277" s="7"/>
      <c r="F277" s="2"/>
      <c r="G277" s="2"/>
      <c r="H277" s="2"/>
      <c r="I277" s="3"/>
      <c r="K277" s="2"/>
      <c r="L277" s="2"/>
      <c r="M277" s="2"/>
      <c r="N277" s="3"/>
      <c r="O277" s="4"/>
      <c r="P277" s="4"/>
    </row>
    <row r="278" ht="12.75" customHeight="1">
      <c r="A278" s="2"/>
      <c r="B278" s="2"/>
      <c r="C278" s="2"/>
      <c r="D278" s="7"/>
      <c r="F278" s="2"/>
      <c r="G278" s="2"/>
      <c r="H278" s="2"/>
      <c r="I278" s="3"/>
      <c r="K278" s="2"/>
      <c r="L278" s="2"/>
      <c r="M278" s="2"/>
      <c r="N278" s="3"/>
      <c r="O278" s="4"/>
      <c r="P278" s="4"/>
    </row>
    <row r="279" ht="12.75" customHeight="1">
      <c r="A279" s="2"/>
      <c r="B279" s="2"/>
      <c r="C279" s="2"/>
      <c r="D279" s="7"/>
      <c r="F279" s="2"/>
      <c r="G279" s="2"/>
      <c r="H279" s="2"/>
      <c r="I279" s="6"/>
      <c r="K279" s="2"/>
      <c r="L279" s="2"/>
      <c r="M279" s="2"/>
      <c r="N279" s="3"/>
      <c r="O279" s="4"/>
      <c r="P279" s="4"/>
    </row>
    <row r="280" ht="12.75" customHeight="1">
      <c r="A280" s="2"/>
      <c r="B280" s="2"/>
      <c r="C280" s="2"/>
      <c r="D280" s="7"/>
      <c r="F280" s="2"/>
      <c r="G280" s="2"/>
      <c r="H280" s="2"/>
      <c r="I280" s="3"/>
      <c r="K280" s="2"/>
      <c r="L280" s="2"/>
      <c r="M280" s="2"/>
      <c r="N280" s="3"/>
      <c r="O280" s="4"/>
      <c r="P280" s="4"/>
    </row>
    <row r="281" ht="12.75" customHeight="1">
      <c r="A281" s="2"/>
      <c r="B281" s="2"/>
      <c r="C281" s="5"/>
      <c r="D281" s="7"/>
      <c r="F281" s="2"/>
      <c r="G281" s="2"/>
      <c r="H281" s="2"/>
      <c r="I281" s="3"/>
      <c r="K281" s="2"/>
      <c r="L281" s="2"/>
      <c r="M281" s="2"/>
      <c r="N281" s="6"/>
      <c r="O281" s="4"/>
      <c r="P281" s="4"/>
    </row>
    <row r="282" ht="12.75" customHeight="1">
      <c r="A282" s="2"/>
      <c r="B282" s="2"/>
      <c r="C282" s="2"/>
      <c r="D282" s="7"/>
      <c r="F282" s="2"/>
      <c r="G282" s="2"/>
      <c r="H282" s="2"/>
      <c r="I282" s="3"/>
      <c r="K282" s="2"/>
      <c r="L282" s="2"/>
      <c r="M282" s="2"/>
      <c r="N282" s="3"/>
      <c r="O282" s="4"/>
      <c r="P282" s="4"/>
    </row>
    <row r="283" ht="12.75" customHeight="1">
      <c r="A283" s="2"/>
      <c r="B283" s="2"/>
      <c r="C283" s="2"/>
      <c r="D283" s="7"/>
      <c r="F283" s="2"/>
      <c r="G283" s="2"/>
      <c r="H283" s="2"/>
      <c r="I283" s="3"/>
      <c r="K283" s="2"/>
      <c r="L283" s="2"/>
      <c r="M283" s="2"/>
      <c r="N283" s="3"/>
      <c r="O283" s="4"/>
      <c r="P283" s="4"/>
    </row>
    <row r="284" ht="12.75" customHeight="1">
      <c r="A284" s="2"/>
      <c r="B284" s="2"/>
      <c r="C284" s="2"/>
      <c r="D284" s="7"/>
      <c r="F284" s="2"/>
      <c r="G284" s="2"/>
      <c r="H284" s="2"/>
      <c r="I284" s="3"/>
      <c r="K284" s="2"/>
      <c r="L284" s="2"/>
      <c r="M284" s="2"/>
      <c r="N284" s="3"/>
      <c r="O284" s="4"/>
      <c r="P284" s="4"/>
    </row>
    <row r="285" ht="12.75" customHeight="1">
      <c r="A285" s="2"/>
      <c r="B285" s="2"/>
      <c r="C285" s="2"/>
      <c r="D285" s="7"/>
      <c r="F285" s="2"/>
      <c r="G285" s="2"/>
      <c r="H285" s="2"/>
      <c r="I285" s="3"/>
      <c r="K285" s="2"/>
      <c r="L285" s="2"/>
      <c r="M285" s="2"/>
      <c r="N285" s="3"/>
      <c r="O285" s="4"/>
      <c r="P285" s="4"/>
    </row>
    <row r="286" ht="12.75" customHeight="1">
      <c r="A286" s="2"/>
      <c r="B286" s="2"/>
      <c r="C286" s="2"/>
      <c r="D286" s="7"/>
      <c r="F286" s="2"/>
      <c r="G286" s="2"/>
      <c r="H286" s="2"/>
      <c r="I286" s="3"/>
      <c r="K286" s="2"/>
      <c r="L286" s="2"/>
      <c r="M286" s="2"/>
      <c r="N286" s="3"/>
      <c r="O286" s="4"/>
      <c r="P286" s="4"/>
    </row>
    <row r="287" ht="12.75" customHeight="1">
      <c r="A287" s="2"/>
      <c r="B287" s="2"/>
      <c r="C287" s="2"/>
      <c r="D287" s="7"/>
      <c r="F287" s="2"/>
      <c r="G287" s="2"/>
      <c r="H287" s="2"/>
      <c r="I287" s="3"/>
      <c r="K287" s="2"/>
      <c r="L287" s="2"/>
      <c r="M287" s="2"/>
      <c r="N287" s="3"/>
      <c r="O287" s="4"/>
      <c r="P287" s="4"/>
    </row>
    <row r="288" ht="12.75" customHeight="1">
      <c r="O288" s="4"/>
      <c r="P288" s="4"/>
    </row>
    <row r="289" ht="12.75" customHeight="1">
      <c r="B289" s="1"/>
    </row>
    <row r="290" ht="12.75" customHeight="1">
      <c r="B290" s="2"/>
      <c r="C290" s="3"/>
      <c r="E290" s="3"/>
      <c r="F290" s="3"/>
      <c r="G290" s="7"/>
    </row>
    <row r="291" ht="12.75" customHeight="1">
      <c r="B291" s="2"/>
      <c r="C291" s="3"/>
      <c r="E291" s="3"/>
      <c r="F291" s="3"/>
      <c r="G291" s="7"/>
    </row>
    <row r="292" ht="12.75" customHeight="1">
      <c r="B292" s="2"/>
      <c r="C292" s="3"/>
      <c r="E292" s="3"/>
      <c r="F292" s="3"/>
      <c r="G292" s="7"/>
    </row>
    <row r="293" ht="12.75" customHeight="1">
      <c r="B293" s="2"/>
      <c r="C293" s="3"/>
      <c r="E293" s="3"/>
      <c r="F293" s="3"/>
      <c r="G293" s="7"/>
    </row>
    <row r="294" ht="12.75" customHeight="1">
      <c r="B294" s="2"/>
      <c r="C294" s="3"/>
      <c r="E294" s="3"/>
      <c r="F294" s="3"/>
      <c r="G294" s="7"/>
    </row>
    <row r="295" ht="12.75" customHeight="1">
      <c r="B295" s="2"/>
      <c r="C295" s="3"/>
      <c r="E295" s="3"/>
      <c r="F295" s="3"/>
      <c r="G295" s="7"/>
    </row>
    <row r="296" ht="12.75" customHeight="1">
      <c r="B296" s="2"/>
      <c r="C296" s="3"/>
      <c r="E296" s="3"/>
      <c r="F296" s="3"/>
      <c r="G296" s="7"/>
    </row>
    <row r="297" ht="12.75" customHeight="1">
      <c r="B297" s="2"/>
      <c r="C297" s="3"/>
      <c r="E297" s="3"/>
      <c r="F297" s="3"/>
      <c r="G297" s="7"/>
    </row>
    <row r="298" ht="12.75" customHeight="1">
      <c r="B298" s="2"/>
      <c r="C298" s="3"/>
      <c r="E298" s="3"/>
      <c r="F298" s="3"/>
      <c r="G298" s="7"/>
    </row>
    <row r="299" ht="12.75" customHeight="1">
      <c r="B299" s="2"/>
      <c r="C299" s="3"/>
      <c r="E299" s="3"/>
      <c r="F299" s="3"/>
      <c r="G299" s="7"/>
    </row>
    <row r="300" ht="12.75" customHeight="1">
      <c r="B300" s="2"/>
      <c r="C300" s="3"/>
      <c r="E300" s="3"/>
      <c r="F300" s="3"/>
      <c r="G300" s="7"/>
    </row>
    <row r="301" ht="12.75" customHeight="1">
      <c r="B301" s="2"/>
      <c r="C301" s="3"/>
      <c r="E301" s="3"/>
      <c r="F301" s="3"/>
      <c r="G301" s="7"/>
    </row>
    <row r="302" ht="12.75" customHeight="1">
      <c r="B302" s="2"/>
      <c r="C302" s="3"/>
      <c r="E302" s="3"/>
      <c r="F302" s="3"/>
      <c r="G302" s="7"/>
    </row>
    <row r="303" ht="12.75" customHeight="1">
      <c r="B303" s="2"/>
      <c r="C303" s="3"/>
      <c r="E303" s="3"/>
      <c r="F303" s="3"/>
      <c r="G303" s="7"/>
    </row>
    <row r="304" ht="12.75" customHeight="1">
      <c r="B304" s="2"/>
      <c r="C304" s="3"/>
    </row>
    <row r="305" ht="12.75" customHeight="1">
      <c r="B305" s="2"/>
      <c r="C305" s="3"/>
    </row>
    <row r="306" ht="12.75" customHeight="1">
      <c r="B306" s="2"/>
      <c r="C306" s="3"/>
    </row>
    <row r="307" ht="12.75" customHeight="1">
      <c r="B307" s="2"/>
      <c r="C307" s="3"/>
    </row>
    <row r="308" ht="12.75" customHeight="1">
      <c r="B308" s="2"/>
      <c r="C308" s="3"/>
    </row>
    <row r="309" ht="12.75" customHeight="1">
      <c r="B309" s="2"/>
      <c r="C309" s="3"/>
    </row>
    <row r="310" ht="12.75" customHeight="1">
      <c r="B310" s="2"/>
      <c r="C310" s="3"/>
    </row>
    <row r="311" ht="12.75" customHeight="1">
      <c r="B311" s="2"/>
      <c r="C311" s="3"/>
    </row>
    <row r="312" ht="12.75" customHeight="1">
      <c r="B312" s="2"/>
      <c r="C312" s="3"/>
    </row>
    <row r="313" ht="12.75" customHeight="1">
      <c r="B313" s="2"/>
      <c r="C313" s="3"/>
    </row>
    <row r="314" ht="12.75" customHeight="1">
      <c r="B314" s="2"/>
      <c r="C314" s="3"/>
    </row>
    <row r="315" ht="12.75" customHeight="1">
      <c r="B315" s="2"/>
      <c r="C315" s="3"/>
    </row>
    <row r="316" ht="12.75" customHeight="1">
      <c r="B316" s="2"/>
      <c r="C316" s="3"/>
    </row>
    <row r="317" ht="12.75" customHeight="1">
      <c r="B317" s="2"/>
      <c r="C317" s="3"/>
    </row>
    <row r="318" ht="12.75" customHeight="1">
      <c r="B318" s="2"/>
      <c r="C318" s="3"/>
    </row>
    <row r="319" ht="12.75" customHeight="1">
      <c r="B319" s="2"/>
      <c r="C319" s="3"/>
    </row>
    <row r="320" ht="12.75" customHeight="1">
      <c r="B320" s="2"/>
      <c r="C320" s="3"/>
    </row>
    <row r="321" ht="12.75" customHeight="1">
      <c r="B321" s="2"/>
      <c r="C321" s="3"/>
    </row>
    <row r="322" ht="12.75" customHeight="1">
      <c r="B322" s="2"/>
      <c r="C322" s="3"/>
    </row>
    <row r="323" ht="12.75" customHeight="1">
      <c r="B323" s="2"/>
      <c r="C323" s="3"/>
    </row>
    <row r="324" ht="12.75" customHeight="1">
      <c r="B324" s="2"/>
      <c r="C324" s="3"/>
    </row>
    <row r="325" ht="12.75" customHeight="1">
      <c r="B325" s="2"/>
      <c r="C325" s="3"/>
    </row>
    <row r="326" ht="12.75" customHeight="1">
      <c r="B326" s="2"/>
      <c r="C326" s="3"/>
    </row>
    <row r="327" ht="12.75" customHeight="1">
      <c r="B327" s="2"/>
      <c r="C327" s="3"/>
    </row>
    <row r="328" ht="12.75" customHeight="1">
      <c r="B328" s="2"/>
      <c r="C328" s="3"/>
    </row>
    <row r="329" ht="12.75" customHeight="1">
      <c r="B329" s="2"/>
      <c r="C329" s="3"/>
    </row>
    <row r="330" ht="12.75" customHeight="1">
      <c r="B330" s="2"/>
      <c r="C330" s="3"/>
    </row>
    <row r="331" ht="12.75" customHeight="1">
      <c r="B331" s="2"/>
      <c r="C331" s="3"/>
    </row>
    <row r="332" ht="12.75" customHeight="1">
      <c r="B332" s="2"/>
      <c r="C332" s="3"/>
    </row>
    <row r="333" ht="12.75" customHeight="1">
      <c r="B333" s="2"/>
      <c r="C333" s="3"/>
    </row>
    <row r="334" ht="12.75" customHeight="1">
      <c r="B334" s="2"/>
      <c r="C334" s="3"/>
    </row>
    <row r="335" ht="12.75" customHeight="1">
      <c r="B335" s="2"/>
      <c r="C335" s="3"/>
    </row>
    <row r="336" ht="12.75" customHeight="1">
      <c r="B336" s="2"/>
      <c r="C336" s="3"/>
    </row>
    <row r="337" ht="12.75" customHeight="1">
      <c r="B337" s="2"/>
      <c r="C337" s="3"/>
    </row>
    <row r="338" ht="12.75" customHeight="1">
      <c r="B338" s="2"/>
      <c r="C338" s="3"/>
    </row>
    <row r="339" ht="12.75" customHeight="1">
      <c r="B339" s="2"/>
      <c r="C339" s="3"/>
    </row>
    <row r="340" ht="12.75" customHeight="1">
      <c r="B340" s="2"/>
      <c r="C340" s="3"/>
    </row>
    <row r="341" ht="12.75" customHeight="1">
      <c r="B341" s="2"/>
      <c r="C341" s="3"/>
    </row>
    <row r="342" ht="12.75" customHeight="1">
      <c r="B342" s="2"/>
      <c r="C342" s="3"/>
    </row>
    <row r="343" ht="12.75" customHeight="1">
      <c r="B343" s="2"/>
      <c r="C343" s="3"/>
    </row>
    <row r="344" ht="12.75" customHeight="1">
      <c r="B344" s="2"/>
      <c r="C344" s="3"/>
    </row>
    <row r="345" ht="12.75" customHeight="1">
      <c r="B345" s="2"/>
      <c r="C345" s="3"/>
    </row>
    <row r="346" ht="12.75" customHeight="1">
      <c r="B346" s="2"/>
      <c r="C346" s="3"/>
    </row>
    <row r="347" ht="12.75" customHeight="1">
      <c r="B347" s="2"/>
      <c r="C347" s="3"/>
    </row>
    <row r="348" ht="12.75" customHeight="1">
      <c r="B348" s="2"/>
      <c r="C348" s="3"/>
    </row>
    <row r="349" ht="12.75" customHeight="1">
      <c r="B349" s="2"/>
      <c r="C349" s="3"/>
    </row>
    <row r="350" ht="12.75" customHeight="1">
      <c r="B350" s="2"/>
      <c r="C350" s="3"/>
    </row>
    <row r="351" ht="12.75" customHeight="1">
      <c r="B351" s="2"/>
      <c r="C351" s="3"/>
    </row>
    <row r="352" ht="12.75" customHeight="1">
      <c r="B352" s="2"/>
      <c r="C352" s="3"/>
    </row>
    <row r="353" ht="12.75" customHeight="1">
      <c r="B353" s="2"/>
      <c r="C353" s="3"/>
    </row>
    <row r="354" ht="12.75" customHeight="1">
      <c r="B354" s="2"/>
      <c r="C354" s="3"/>
    </row>
    <row r="355" ht="12.75" customHeight="1">
      <c r="B355" s="2"/>
      <c r="C355" s="3"/>
    </row>
    <row r="356" ht="12.75" customHeight="1">
      <c r="B356" s="2"/>
      <c r="C356" s="3"/>
    </row>
    <row r="357" ht="12.75" customHeight="1">
      <c r="B357" s="2"/>
      <c r="C357" s="3"/>
    </row>
    <row r="358" ht="12.75" customHeight="1">
      <c r="B358" s="2"/>
      <c r="C358" s="3"/>
    </row>
    <row r="359" ht="12.75" customHeight="1">
      <c r="B359" s="2"/>
      <c r="C359" s="3"/>
    </row>
    <row r="360" ht="12.75" customHeight="1">
      <c r="B360" s="2"/>
      <c r="C360" s="3"/>
    </row>
    <row r="361" ht="12.75" customHeight="1">
      <c r="B361" s="2"/>
      <c r="C361" s="3"/>
    </row>
    <row r="362" ht="12.75" customHeight="1">
      <c r="B362" s="2"/>
      <c r="C362" s="3"/>
    </row>
    <row r="363" ht="12.75" customHeight="1">
      <c r="B363" s="2"/>
      <c r="C363" s="3"/>
    </row>
    <row r="364" ht="12.75" customHeight="1">
      <c r="B364" s="2"/>
      <c r="C364" s="3"/>
    </row>
    <row r="365" ht="12.75" customHeight="1">
      <c r="B365" s="2"/>
      <c r="C365" s="3"/>
    </row>
    <row r="366" ht="12.75" customHeight="1">
      <c r="B366" s="2"/>
      <c r="C366" s="3"/>
    </row>
    <row r="367" ht="12.75" customHeight="1">
      <c r="B367" s="2"/>
      <c r="C367" s="3"/>
    </row>
    <row r="368" ht="12.75" customHeight="1">
      <c r="B368" s="2"/>
      <c r="C368" s="3"/>
    </row>
    <row r="369" ht="12.75" customHeight="1">
      <c r="B369" s="2"/>
      <c r="C369" s="3"/>
    </row>
    <row r="370" ht="12.75" customHeight="1">
      <c r="B370" s="2"/>
      <c r="C370" s="3"/>
    </row>
    <row r="371" ht="12.75" customHeight="1">
      <c r="B371" s="2"/>
      <c r="C371" s="3"/>
    </row>
    <row r="372" ht="12.75" customHeight="1">
      <c r="B372" s="2"/>
      <c r="C372" s="3"/>
    </row>
    <row r="373" ht="12.75" customHeight="1">
      <c r="B373" s="2"/>
      <c r="C373" s="3"/>
    </row>
    <row r="374" ht="12.75" customHeight="1">
      <c r="B374" s="2"/>
      <c r="C374" s="3"/>
    </row>
    <row r="375" ht="12.75" customHeight="1">
      <c r="B375" s="2"/>
      <c r="C375" s="3"/>
    </row>
    <row r="376" ht="12.75" customHeight="1">
      <c r="B376" s="2"/>
      <c r="C376" s="3"/>
    </row>
    <row r="377" ht="12.75" customHeight="1">
      <c r="B377" s="2"/>
      <c r="C377" s="3"/>
    </row>
    <row r="378" ht="12.75" customHeight="1">
      <c r="B378" s="2"/>
      <c r="C378" s="3"/>
    </row>
    <row r="379" ht="12.75" customHeight="1">
      <c r="B379" s="2"/>
      <c r="C379" s="3"/>
    </row>
    <row r="380" ht="12.75" customHeight="1">
      <c r="B380" s="2"/>
      <c r="C380" s="3"/>
    </row>
    <row r="381" ht="12.75" customHeight="1">
      <c r="B381" s="2"/>
      <c r="C381" s="3"/>
    </row>
    <row r="382" ht="12.75" customHeight="1">
      <c r="B382" s="2"/>
      <c r="C382" s="3"/>
    </row>
    <row r="383" ht="12.75" customHeight="1">
      <c r="B383" s="2"/>
      <c r="C383" s="3"/>
    </row>
    <row r="384" ht="12.75" customHeight="1">
      <c r="B384" s="2"/>
      <c r="C384" s="3"/>
    </row>
    <row r="385" ht="12.75" customHeight="1">
      <c r="B385" s="2"/>
      <c r="C385" s="3"/>
    </row>
    <row r="386" ht="12.75" customHeight="1">
      <c r="B386" s="2"/>
      <c r="C386" s="3"/>
    </row>
    <row r="387" ht="12.75" customHeight="1">
      <c r="B387" s="2"/>
      <c r="C387" s="3"/>
    </row>
    <row r="388" ht="12.75" customHeight="1">
      <c r="B388" s="2"/>
      <c r="C388" s="3"/>
    </row>
    <row r="389" ht="12.75" customHeight="1">
      <c r="B389" s="2"/>
      <c r="C389" s="3"/>
    </row>
    <row r="390" ht="12.75" customHeight="1">
      <c r="B390" s="2"/>
      <c r="C390" s="3"/>
    </row>
    <row r="391" ht="12.75" customHeight="1">
      <c r="B391" s="2"/>
      <c r="C391" s="3"/>
    </row>
    <row r="392" ht="12.75" customHeight="1">
      <c r="B392" s="2"/>
      <c r="C392" s="3"/>
    </row>
    <row r="393" ht="12.75" customHeight="1">
      <c r="B393" s="2"/>
      <c r="C393" s="3"/>
    </row>
    <row r="394" ht="12.75" customHeight="1">
      <c r="B394" s="2"/>
      <c r="C394" s="3"/>
    </row>
    <row r="395" ht="12.75" customHeight="1">
      <c r="B395" s="2"/>
      <c r="C395" s="3"/>
    </row>
    <row r="396" ht="12.75" customHeight="1">
      <c r="B396" s="2"/>
      <c r="C396" s="3"/>
    </row>
    <row r="397" ht="12.75" customHeight="1">
      <c r="B397" s="2"/>
      <c r="C397" s="3"/>
    </row>
    <row r="398" ht="12.75" customHeight="1">
      <c r="B398" s="2"/>
      <c r="C398" s="3"/>
    </row>
    <row r="399" ht="12.75" customHeight="1">
      <c r="B399" s="2"/>
      <c r="C399" s="3"/>
    </row>
    <row r="400" ht="12.75" customHeight="1">
      <c r="B400" s="2"/>
      <c r="C400" s="3"/>
    </row>
    <row r="401" ht="12.75" customHeight="1">
      <c r="B401" s="2"/>
      <c r="C401" s="3"/>
    </row>
    <row r="402" ht="12.75" customHeight="1">
      <c r="B402" s="2"/>
      <c r="C402" s="3"/>
    </row>
    <row r="403" ht="12.75" customHeight="1">
      <c r="B403" s="2"/>
      <c r="C403" s="3"/>
    </row>
    <row r="404" ht="12.75" customHeight="1">
      <c r="B404" s="2"/>
      <c r="C404" s="3"/>
    </row>
    <row r="405" ht="12.75" customHeight="1">
      <c r="B405" s="2"/>
      <c r="C405" s="3"/>
    </row>
    <row r="406" ht="12.75" customHeight="1">
      <c r="B406" s="2"/>
      <c r="C406" s="3"/>
    </row>
    <row r="407" ht="12.75" customHeight="1">
      <c r="B407" s="2"/>
      <c r="C407" s="3"/>
    </row>
    <row r="408" ht="12.75" customHeight="1">
      <c r="B408" s="2"/>
      <c r="C408" s="3"/>
    </row>
    <row r="409" ht="12.75" customHeight="1">
      <c r="B409" s="2"/>
      <c r="C409" s="3"/>
    </row>
    <row r="410" ht="12.75" customHeight="1">
      <c r="B410" s="2"/>
      <c r="C410" s="3"/>
    </row>
    <row r="411" ht="12.75" customHeight="1">
      <c r="B411" s="2"/>
      <c r="C411" s="3"/>
    </row>
    <row r="412" ht="12.75" customHeight="1">
      <c r="B412" s="2"/>
      <c r="C412" s="3"/>
    </row>
    <row r="413" ht="12.75" customHeight="1">
      <c r="B413" s="2"/>
      <c r="C413" s="3"/>
    </row>
    <row r="414" ht="12.75" customHeight="1">
      <c r="B414" s="2"/>
      <c r="C414" s="3"/>
    </row>
    <row r="415" ht="12.75" customHeight="1">
      <c r="B415" s="2"/>
      <c r="C415" s="3"/>
    </row>
    <row r="416" ht="12.75" customHeight="1">
      <c r="B416" s="2"/>
      <c r="C416" s="3"/>
    </row>
    <row r="417" ht="12.75" customHeight="1">
      <c r="B417" s="2"/>
      <c r="C417" s="3"/>
    </row>
    <row r="418" ht="12.75" customHeight="1">
      <c r="B418" s="2"/>
      <c r="C418" s="3"/>
    </row>
    <row r="419" ht="12.75" customHeight="1">
      <c r="B419" s="2"/>
      <c r="C419" s="3"/>
    </row>
    <row r="420" ht="12.75" customHeight="1">
      <c r="B420" s="2"/>
      <c r="C420" s="3"/>
    </row>
    <row r="421" ht="12.75" customHeight="1">
      <c r="B421" s="2"/>
      <c r="C421" s="3"/>
    </row>
    <row r="422" ht="12.75" customHeight="1">
      <c r="B422" s="2"/>
      <c r="C422" s="3"/>
    </row>
    <row r="423" ht="12.75" customHeight="1">
      <c r="B423" s="2"/>
      <c r="C423" s="3"/>
    </row>
    <row r="424" ht="12.75" customHeight="1">
      <c r="B424" s="2"/>
      <c r="C424" s="3"/>
    </row>
    <row r="425" ht="12.75" customHeight="1">
      <c r="B425" s="2"/>
      <c r="C425" s="3"/>
    </row>
    <row r="426" ht="12.75" customHeight="1">
      <c r="B426" s="2"/>
      <c r="C426" s="3"/>
    </row>
    <row r="427" ht="12.75" customHeight="1">
      <c r="B427" s="2"/>
      <c r="C427" s="3"/>
    </row>
    <row r="428" ht="12.75" customHeight="1">
      <c r="B428" s="2"/>
      <c r="C428" s="3"/>
    </row>
    <row r="429" ht="12.75" customHeight="1">
      <c r="B429" s="2"/>
      <c r="C429" s="3"/>
    </row>
    <row r="430" ht="12.75" customHeight="1">
      <c r="B430" s="2"/>
      <c r="C430" s="3"/>
    </row>
    <row r="431" ht="12.75" customHeight="1">
      <c r="B431" s="2"/>
      <c r="C431" s="3"/>
    </row>
    <row r="432" ht="12.75" customHeight="1">
      <c r="B432" s="2"/>
      <c r="C432" s="3"/>
    </row>
    <row r="433" ht="12.75" customHeight="1">
      <c r="B433" s="2"/>
      <c r="C433" s="3"/>
    </row>
    <row r="434" ht="12.75" customHeight="1">
      <c r="B434" s="2"/>
      <c r="C434" s="3"/>
    </row>
    <row r="435" ht="12.75" customHeight="1">
      <c r="B435" s="2"/>
      <c r="C435" s="3"/>
    </row>
    <row r="436" ht="12.75" customHeight="1">
      <c r="B436" s="2"/>
      <c r="C436" s="3"/>
    </row>
    <row r="437" ht="12.75" customHeight="1">
      <c r="B437" s="2"/>
      <c r="C437" s="3"/>
    </row>
    <row r="438" ht="12.75" customHeight="1">
      <c r="B438" s="2"/>
      <c r="C438" s="3"/>
    </row>
    <row r="439" ht="12.75" customHeight="1">
      <c r="B439" s="2"/>
      <c r="C439" s="3"/>
    </row>
    <row r="440" ht="12.75" customHeight="1">
      <c r="B440" s="2"/>
      <c r="C440" s="3"/>
    </row>
    <row r="441" ht="12.75" customHeight="1">
      <c r="B441" s="2"/>
      <c r="C441" s="3"/>
    </row>
    <row r="442" ht="12.75" customHeight="1">
      <c r="B442" s="2"/>
      <c r="C442" s="3"/>
    </row>
    <row r="443" ht="12.75" customHeight="1">
      <c r="B443" s="2"/>
      <c r="C443" s="3"/>
    </row>
    <row r="444" ht="12.75" customHeight="1">
      <c r="B444" s="2"/>
      <c r="C444" s="3"/>
    </row>
    <row r="445" ht="12.75" customHeight="1">
      <c r="B445" s="2"/>
      <c r="C445" s="3"/>
    </row>
    <row r="446" ht="12.75" customHeight="1">
      <c r="B446" s="2"/>
      <c r="C446" s="3"/>
    </row>
    <row r="447" ht="12.75" customHeight="1">
      <c r="B447" s="2"/>
      <c r="C447" s="3"/>
    </row>
    <row r="448" ht="12.75" customHeight="1">
      <c r="B448" s="2"/>
      <c r="C448" s="3"/>
    </row>
    <row r="449" ht="12.75" customHeight="1">
      <c r="B449" s="2"/>
      <c r="C449" s="3"/>
    </row>
    <row r="450" ht="12.75" customHeight="1">
      <c r="B450" s="2"/>
      <c r="C450" s="3"/>
    </row>
    <row r="451" ht="12.75" customHeight="1">
      <c r="B451" s="2"/>
      <c r="C451" s="3"/>
    </row>
    <row r="452" ht="12.75" customHeight="1">
      <c r="B452" s="2"/>
      <c r="C452" s="3"/>
    </row>
    <row r="453" ht="12.75" customHeight="1">
      <c r="B453" s="2"/>
      <c r="C453" s="3"/>
    </row>
    <row r="454" ht="12.75" customHeight="1">
      <c r="B454" s="2"/>
      <c r="C454" s="3"/>
    </row>
    <row r="455" ht="12.75" customHeight="1">
      <c r="B455" s="2"/>
      <c r="C455" s="3"/>
    </row>
    <row r="456" ht="12.75" customHeight="1">
      <c r="B456" s="2"/>
      <c r="C456" s="3"/>
    </row>
    <row r="457" ht="12.75" customHeight="1">
      <c r="B457" s="2"/>
      <c r="C457" s="3"/>
    </row>
    <row r="458" ht="12.75" customHeight="1">
      <c r="B458" s="2"/>
      <c r="C458" s="3"/>
    </row>
    <row r="459" ht="12.75" customHeight="1">
      <c r="B459" s="2"/>
      <c r="C459" s="3"/>
    </row>
    <row r="460" ht="12.75" customHeight="1">
      <c r="B460" s="2"/>
      <c r="C460" s="3"/>
    </row>
    <row r="461" ht="12.75" customHeight="1">
      <c r="B461" s="2"/>
      <c r="C461" s="3"/>
    </row>
    <row r="462" ht="12.75" customHeight="1">
      <c r="B462" s="2"/>
      <c r="C462" s="3"/>
    </row>
    <row r="463" ht="12.75" customHeight="1">
      <c r="B463" s="2"/>
      <c r="C463" s="3"/>
    </row>
    <row r="464" ht="12.75" customHeight="1">
      <c r="B464" s="2"/>
      <c r="C464" s="3"/>
    </row>
    <row r="465" ht="12.75" customHeight="1">
      <c r="B465" s="2"/>
      <c r="C465" s="3"/>
    </row>
    <row r="466" ht="12.75" customHeight="1">
      <c r="B466" s="2"/>
      <c r="C466" s="3"/>
    </row>
    <row r="467" ht="12.75" customHeight="1">
      <c r="B467" s="2"/>
      <c r="C467" s="3"/>
    </row>
    <row r="468" ht="12.75" customHeight="1">
      <c r="B468" s="2"/>
      <c r="C468" s="3"/>
    </row>
    <row r="469" ht="12.75" customHeight="1">
      <c r="B469" s="2"/>
      <c r="C469" s="3"/>
    </row>
    <row r="470" ht="12.75" customHeight="1">
      <c r="B470" s="2"/>
      <c r="C470" s="3"/>
    </row>
    <row r="471" ht="12.75" customHeight="1">
      <c r="B471" s="2"/>
      <c r="C471" s="3"/>
    </row>
    <row r="472" ht="12.75" customHeight="1">
      <c r="B472" s="2"/>
      <c r="C472" s="3"/>
    </row>
    <row r="473" ht="12.75" customHeight="1">
      <c r="B473" s="2"/>
      <c r="C473" s="3"/>
    </row>
    <row r="474" ht="12.75" customHeight="1">
      <c r="B474" s="2"/>
      <c r="C474" s="3"/>
    </row>
    <row r="475" ht="12.75" customHeight="1">
      <c r="B475" s="2"/>
      <c r="C475" s="3"/>
    </row>
    <row r="476" ht="12.75" customHeight="1">
      <c r="B476" s="2"/>
      <c r="C476" s="3"/>
    </row>
    <row r="477" ht="12.75" customHeight="1">
      <c r="B477" s="2"/>
      <c r="C477" s="3"/>
    </row>
    <row r="478" ht="12.75" customHeight="1">
      <c r="B478" s="2"/>
      <c r="C478" s="3"/>
    </row>
    <row r="479" ht="12.75" customHeight="1">
      <c r="B479" s="2"/>
      <c r="C479" s="3"/>
    </row>
    <row r="480" ht="12.75" customHeight="1">
      <c r="B480" s="2"/>
      <c r="C480" s="3"/>
    </row>
    <row r="481" ht="12.75" customHeight="1">
      <c r="B481" s="2"/>
      <c r="C481" s="3"/>
    </row>
    <row r="482" ht="12.75" customHeight="1">
      <c r="B482" s="2"/>
      <c r="C482" s="3"/>
    </row>
    <row r="483" ht="12.75" customHeight="1">
      <c r="B483" s="2"/>
      <c r="C483" s="3"/>
    </row>
    <row r="484" ht="12.75" customHeight="1">
      <c r="B484" s="2"/>
      <c r="C484" s="3"/>
    </row>
    <row r="485" ht="12.75" customHeight="1">
      <c r="B485" s="2"/>
      <c r="C485" s="3"/>
    </row>
    <row r="486" ht="12.75" customHeight="1">
      <c r="B486" s="2"/>
      <c r="C486" s="3"/>
    </row>
    <row r="487" ht="12.75" customHeight="1">
      <c r="B487" s="2"/>
      <c r="C487" s="3"/>
    </row>
    <row r="488" ht="12.75" customHeight="1">
      <c r="B488" s="2"/>
      <c r="C488" s="3"/>
    </row>
    <row r="489" ht="12.75" customHeight="1">
      <c r="B489" s="2"/>
      <c r="C489" s="3"/>
    </row>
    <row r="490" ht="12.75" customHeight="1">
      <c r="B490" s="2"/>
      <c r="C490" s="3"/>
    </row>
    <row r="491" ht="12.75" customHeight="1">
      <c r="B491" s="2"/>
      <c r="C491" s="3"/>
    </row>
    <row r="492" ht="12.75" customHeight="1">
      <c r="B492" s="2"/>
      <c r="C492" s="3"/>
    </row>
    <row r="493" ht="12.75" customHeight="1">
      <c r="B493" s="2"/>
      <c r="C493" s="3"/>
    </row>
    <row r="494" ht="12.75" customHeight="1">
      <c r="B494" s="2"/>
      <c r="C494" s="3"/>
    </row>
    <row r="495" ht="12.75" customHeight="1">
      <c r="B495" s="2"/>
      <c r="C495" s="3"/>
    </row>
    <row r="496" ht="12.75" customHeight="1">
      <c r="B496" s="2"/>
      <c r="C496" s="3"/>
    </row>
    <row r="497" ht="12.75" customHeight="1">
      <c r="B497" s="2"/>
      <c r="C497" s="3"/>
    </row>
    <row r="498" ht="12.75" customHeight="1">
      <c r="B498" s="2"/>
      <c r="C498" s="3"/>
    </row>
    <row r="499" ht="12.75" customHeight="1">
      <c r="B499" s="2"/>
      <c r="C499" s="3"/>
    </row>
    <row r="500" ht="12.75" customHeight="1">
      <c r="B500" s="2"/>
      <c r="C500" s="3"/>
    </row>
    <row r="501" ht="12.75" customHeight="1">
      <c r="B501" s="2"/>
      <c r="C501" s="3"/>
    </row>
    <row r="502" ht="12.75" customHeight="1">
      <c r="B502" s="2"/>
      <c r="C502" s="3"/>
    </row>
    <row r="503" ht="12.75" customHeight="1">
      <c r="B503" s="2"/>
      <c r="C503" s="3"/>
    </row>
    <row r="504" ht="12.75" customHeight="1">
      <c r="B504" s="2"/>
      <c r="C504" s="3"/>
    </row>
    <row r="505" ht="12.75" customHeight="1">
      <c r="B505" s="2"/>
      <c r="C505" s="3"/>
    </row>
    <row r="506" ht="12.75" customHeight="1">
      <c r="B506" s="2"/>
      <c r="C506" s="3"/>
    </row>
    <row r="507" ht="12.75" customHeight="1">
      <c r="B507" s="2"/>
      <c r="C507" s="3"/>
    </row>
    <row r="508" ht="12.75" customHeight="1">
      <c r="B508" s="2"/>
      <c r="C508" s="3"/>
    </row>
    <row r="509" ht="12.75" customHeight="1">
      <c r="B509" s="2"/>
      <c r="C509" s="3"/>
    </row>
    <row r="510" ht="12.75" customHeight="1">
      <c r="B510" s="2"/>
      <c r="C510" s="3"/>
    </row>
    <row r="511" ht="12.75" customHeight="1">
      <c r="B511" s="2"/>
      <c r="C511" s="3"/>
    </row>
    <row r="512" ht="12.75" customHeight="1">
      <c r="B512" s="2"/>
      <c r="C512" s="3"/>
    </row>
    <row r="513" ht="12.75" customHeight="1">
      <c r="B513" s="2"/>
      <c r="C513" s="3"/>
    </row>
    <row r="514" ht="12.75" customHeight="1">
      <c r="B514" s="2"/>
      <c r="C514" s="3"/>
    </row>
    <row r="515" ht="12.75" customHeight="1">
      <c r="B515" s="2"/>
      <c r="C515" s="3"/>
    </row>
    <row r="516" ht="12.75" customHeight="1">
      <c r="B516" s="2"/>
      <c r="C516" s="3"/>
    </row>
    <row r="517" ht="12.75" customHeight="1">
      <c r="B517" s="2"/>
      <c r="C517" s="3"/>
    </row>
    <row r="518" ht="12.75" customHeight="1">
      <c r="B518" s="2"/>
      <c r="C518" s="3"/>
    </row>
    <row r="519" ht="12.75" customHeight="1">
      <c r="B519" s="2"/>
      <c r="C519" s="3"/>
    </row>
    <row r="520" ht="12.75" customHeight="1">
      <c r="B520" s="2"/>
      <c r="C520" s="3"/>
    </row>
    <row r="521" ht="12.75" customHeight="1">
      <c r="B521" s="2"/>
      <c r="C521" s="3"/>
    </row>
    <row r="522" ht="12.75" customHeight="1">
      <c r="B522" s="2"/>
      <c r="C522" s="3"/>
    </row>
    <row r="523" ht="12.75" customHeight="1">
      <c r="B523" s="2"/>
      <c r="C523" s="3"/>
    </row>
    <row r="524" ht="12.75" customHeight="1">
      <c r="B524" s="2"/>
      <c r="C524" s="3"/>
    </row>
    <row r="525" ht="12.75" customHeight="1">
      <c r="B525" s="2"/>
      <c r="C525" s="3"/>
    </row>
    <row r="526" ht="12.75" customHeight="1">
      <c r="B526" s="2"/>
      <c r="C526" s="3"/>
    </row>
    <row r="527" ht="12.75" customHeight="1">
      <c r="B527" s="2"/>
      <c r="C527" s="3"/>
    </row>
    <row r="528" ht="12.75" customHeight="1">
      <c r="B528" s="2"/>
      <c r="C528" s="3"/>
    </row>
    <row r="529" ht="12.75" customHeight="1">
      <c r="B529" s="2"/>
      <c r="C529" s="3"/>
    </row>
    <row r="530" ht="12.75" customHeight="1">
      <c r="B530" s="2"/>
      <c r="C530" s="3"/>
    </row>
    <row r="531" ht="12.75" customHeight="1">
      <c r="B531" s="2"/>
      <c r="C531" s="3"/>
    </row>
    <row r="532" ht="12.75" customHeight="1">
      <c r="B532" s="2"/>
      <c r="C532" s="3"/>
    </row>
    <row r="533" ht="12.75" customHeight="1">
      <c r="B533" s="2"/>
      <c r="C533" s="3"/>
    </row>
    <row r="534" ht="12.75" customHeight="1">
      <c r="B534" s="2"/>
      <c r="C534" s="3"/>
    </row>
    <row r="535" ht="12.75" customHeight="1">
      <c r="B535" s="2"/>
      <c r="C535" s="3"/>
    </row>
    <row r="536" ht="12.75" customHeight="1">
      <c r="B536" s="2"/>
      <c r="C536" s="3"/>
    </row>
    <row r="537" ht="12.75" customHeight="1">
      <c r="B537" s="2"/>
      <c r="C537" s="3"/>
    </row>
    <row r="538" ht="12.75" customHeight="1">
      <c r="B538" s="2"/>
      <c r="C538" s="3"/>
    </row>
    <row r="539" ht="12.75" customHeight="1">
      <c r="B539" s="2"/>
      <c r="C539" s="3"/>
    </row>
    <row r="540" ht="12.75" customHeight="1">
      <c r="B540" s="2"/>
      <c r="C540" s="3"/>
    </row>
    <row r="541" ht="12.75" customHeight="1">
      <c r="B541" s="2"/>
      <c r="C541" s="3"/>
    </row>
    <row r="542" ht="12.75" customHeight="1">
      <c r="B542" s="2"/>
      <c r="C542" s="3"/>
    </row>
    <row r="543" ht="12.75" customHeight="1">
      <c r="B543" s="2"/>
      <c r="C543" s="3"/>
    </row>
    <row r="544" ht="12.75" customHeight="1">
      <c r="B544" s="2"/>
      <c r="C544" s="3"/>
    </row>
    <row r="545" ht="12.75" customHeight="1">
      <c r="B545" s="2"/>
      <c r="C545" s="3"/>
    </row>
    <row r="546" ht="12.75" customHeight="1">
      <c r="B546" s="2"/>
      <c r="C546" s="3"/>
    </row>
    <row r="547" ht="12.75" customHeight="1">
      <c r="B547" s="2"/>
      <c r="C547" s="3"/>
    </row>
    <row r="548" ht="12.75" customHeight="1">
      <c r="B548" s="2"/>
      <c r="C548" s="3"/>
    </row>
    <row r="549" ht="12.75" customHeight="1">
      <c r="B549" s="2"/>
      <c r="C549" s="3"/>
    </row>
    <row r="550" ht="12.75" customHeight="1">
      <c r="B550" s="2"/>
      <c r="C550" s="3"/>
    </row>
    <row r="551" ht="12.75" customHeight="1">
      <c r="B551" s="2"/>
      <c r="C551" s="3"/>
    </row>
    <row r="552" ht="12.75" customHeight="1">
      <c r="B552" s="2"/>
      <c r="C552" s="3"/>
    </row>
    <row r="553" ht="12.75" customHeight="1">
      <c r="B553" s="2"/>
      <c r="C553" s="3"/>
    </row>
    <row r="554" ht="12.75" customHeight="1">
      <c r="B554" s="2"/>
      <c r="C554" s="3"/>
    </row>
    <row r="555" ht="12.75" customHeight="1">
      <c r="B555" s="2"/>
      <c r="C555" s="3"/>
    </row>
    <row r="556" ht="12.75" customHeight="1">
      <c r="B556" s="2"/>
      <c r="C556" s="3"/>
    </row>
    <row r="557" ht="12.75" customHeight="1">
      <c r="B557" s="2"/>
      <c r="C557" s="3"/>
    </row>
    <row r="558" ht="12.75" customHeight="1">
      <c r="B558" s="2"/>
      <c r="C558" s="3"/>
    </row>
    <row r="559" ht="12.75" customHeight="1">
      <c r="B559" s="2"/>
      <c r="C559" s="3"/>
    </row>
    <row r="560" ht="12.75" customHeight="1">
      <c r="B560" s="2"/>
      <c r="C560" s="3"/>
    </row>
    <row r="561" ht="12.75" customHeight="1">
      <c r="B561" s="2"/>
      <c r="C561" s="3"/>
    </row>
    <row r="562" ht="12.75" customHeight="1">
      <c r="B562" s="2"/>
      <c r="C562" s="3"/>
    </row>
    <row r="563" ht="12.75" customHeight="1">
      <c r="B563" s="2"/>
      <c r="C563" s="3"/>
    </row>
    <row r="564" ht="12.75" customHeight="1">
      <c r="B564" s="2"/>
      <c r="C564" s="3"/>
    </row>
    <row r="565" ht="12.75" customHeight="1">
      <c r="B565" s="2"/>
      <c r="C565" s="3"/>
    </row>
    <row r="566" ht="12.75" customHeight="1">
      <c r="B566" s="2"/>
      <c r="C566" s="3"/>
    </row>
    <row r="567" ht="12.75" customHeight="1">
      <c r="B567" s="2"/>
      <c r="C567" s="3"/>
    </row>
    <row r="568" ht="12.75" customHeight="1">
      <c r="B568" s="2"/>
      <c r="C568" s="3"/>
    </row>
    <row r="569" ht="12.75" customHeight="1">
      <c r="B569" s="2"/>
      <c r="C569" s="3"/>
    </row>
    <row r="570" ht="12.75" customHeight="1">
      <c r="B570" s="2"/>
      <c r="C570" s="3"/>
    </row>
    <row r="571" ht="12.75" customHeight="1">
      <c r="B571" s="2"/>
      <c r="C571" s="3"/>
    </row>
    <row r="572" ht="12.75" customHeight="1">
      <c r="B572" s="2"/>
      <c r="C572" s="3"/>
    </row>
    <row r="573" ht="12.75" customHeight="1">
      <c r="B573" s="2"/>
      <c r="C573" s="3"/>
    </row>
    <row r="574" ht="12.75" customHeight="1">
      <c r="B574" s="2"/>
      <c r="C574" s="3"/>
    </row>
    <row r="575" ht="12.75" customHeight="1">
      <c r="B575" s="2"/>
      <c r="C575" s="3"/>
    </row>
    <row r="576" ht="12.75" customHeight="1">
      <c r="B576" s="2"/>
      <c r="C576" s="3"/>
    </row>
    <row r="577" ht="12.75" customHeight="1">
      <c r="B577" s="2"/>
      <c r="C577" s="3"/>
    </row>
    <row r="578" ht="12.75" customHeight="1">
      <c r="B578" s="2"/>
      <c r="C578" s="3"/>
    </row>
    <row r="579" ht="12.75" customHeight="1">
      <c r="B579" s="2"/>
      <c r="C579" s="3"/>
    </row>
    <row r="580" ht="12.75" customHeight="1">
      <c r="B580" s="2"/>
      <c r="C580" s="3"/>
    </row>
    <row r="581" ht="12.75" customHeight="1">
      <c r="B581" s="2"/>
      <c r="C581" s="3"/>
    </row>
    <row r="582" ht="12.75" customHeight="1">
      <c r="B582" s="2"/>
      <c r="C582" s="3"/>
    </row>
    <row r="583" ht="12.75" customHeight="1">
      <c r="B583" s="2"/>
      <c r="C583" s="3"/>
    </row>
    <row r="584" ht="12.75" customHeight="1">
      <c r="B584" s="2"/>
      <c r="C584" s="3"/>
    </row>
    <row r="585" ht="12.75" customHeight="1">
      <c r="B585" s="2"/>
      <c r="C585" s="3"/>
    </row>
    <row r="586" ht="12.75" customHeight="1">
      <c r="B586" s="2"/>
      <c r="C586" s="3"/>
    </row>
    <row r="587" ht="12.75" customHeight="1">
      <c r="B587" s="2"/>
      <c r="C587" s="3"/>
    </row>
    <row r="588" ht="12.75" customHeight="1">
      <c r="B588" s="2"/>
      <c r="C588" s="3"/>
    </row>
    <row r="589" ht="12.75" customHeight="1">
      <c r="B589" s="2"/>
      <c r="C589" s="3"/>
    </row>
    <row r="590" ht="12.75" customHeight="1">
      <c r="B590" s="2"/>
      <c r="C590" s="3"/>
    </row>
    <row r="591" ht="12.75" customHeight="1">
      <c r="B591" s="2"/>
      <c r="C591" s="3"/>
    </row>
    <row r="592" ht="12.75" customHeight="1">
      <c r="B592" s="2"/>
      <c r="C592" s="3"/>
    </row>
    <row r="593" ht="12.75" customHeight="1">
      <c r="B593" s="2"/>
      <c r="C593" s="3"/>
    </row>
    <row r="594" ht="12.75" customHeight="1">
      <c r="B594" s="2"/>
      <c r="C594" s="3"/>
    </row>
    <row r="595" ht="12.75" customHeight="1">
      <c r="B595" s="2"/>
      <c r="C595" s="3"/>
    </row>
    <row r="596" ht="12.75" customHeight="1">
      <c r="B596" s="2"/>
      <c r="C596" s="3"/>
    </row>
    <row r="597" ht="12.75" customHeight="1">
      <c r="B597" s="2"/>
      <c r="C597" s="3"/>
    </row>
    <row r="598" ht="12.75" customHeight="1">
      <c r="B598" s="2"/>
      <c r="C598" s="3"/>
    </row>
    <row r="599" ht="12.75" customHeight="1">
      <c r="B599" s="2"/>
      <c r="C599" s="3"/>
    </row>
    <row r="600" ht="12.75" customHeight="1">
      <c r="B600" s="2"/>
      <c r="C600" s="3"/>
    </row>
    <row r="601" ht="12.75" customHeight="1">
      <c r="B601" s="2"/>
      <c r="C601" s="3"/>
    </row>
    <row r="602" ht="12.75" customHeight="1">
      <c r="B602" s="2"/>
      <c r="C602" s="3"/>
    </row>
    <row r="603" ht="12.75" customHeight="1">
      <c r="B603" s="2"/>
      <c r="C603" s="3"/>
    </row>
    <row r="604" ht="12.75" customHeight="1">
      <c r="B604" s="2"/>
      <c r="C604" s="3"/>
    </row>
    <row r="605" ht="12.75" customHeight="1">
      <c r="B605" s="2"/>
      <c r="C605" s="3"/>
    </row>
    <row r="606" ht="12.75" customHeight="1">
      <c r="B606" s="2"/>
      <c r="C606" s="3"/>
    </row>
    <row r="607" ht="12.75" customHeight="1">
      <c r="B607" s="2"/>
      <c r="C607" s="3"/>
    </row>
    <row r="608" ht="12.75" customHeight="1">
      <c r="B608" s="2"/>
      <c r="C608" s="3"/>
    </row>
    <row r="609" ht="12.75" customHeight="1">
      <c r="B609" s="2"/>
      <c r="C609" s="3"/>
    </row>
    <row r="610" ht="12.75" customHeight="1">
      <c r="B610" s="2"/>
      <c r="C610" s="3"/>
    </row>
    <row r="611" ht="12.75" customHeight="1">
      <c r="B611" s="2"/>
      <c r="C611" s="3"/>
    </row>
    <row r="612" ht="12.75" customHeight="1">
      <c r="B612" s="2"/>
      <c r="C612" s="3"/>
    </row>
    <row r="613" ht="12.75" customHeight="1">
      <c r="B613" s="2"/>
      <c r="C613" s="3"/>
    </row>
    <row r="614" ht="12.75" customHeight="1">
      <c r="B614" s="2"/>
      <c r="C614" s="3"/>
    </row>
    <row r="615" ht="12.75" customHeight="1">
      <c r="B615" s="2"/>
      <c r="C615" s="3"/>
    </row>
    <row r="616" ht="12.75" customHeight="1">
      <c r="B616" s="2"/>
      <c r="C616" s="3"/>
    </row>
    <row r="617" ht="12.75" customHeight="1">
      <c r="B617" s="2"/>
      <c r="C617" s="3"/>
    </row>
    <row r="618" ht="12.75" customHeight="1">
      <c r="B618" s="2"/>
      <c r="C618" s="3"/>
    </row>
    <row r="619" ht="12.75" customHeight="1">
      <c r="B619" s="2"/>
      <c r="C619" s="3"/>
    </row>
    <row r="620" ht="12.75" customHeight="1">
      <c r="B620" s="2"/>
      <c r="C620" s="3"/>
    </row>
    <row r="621" ht="12.75" customHeight="1">
      <c r="B621" s="2"/>
      <c r="C621" s="3"/>
    </row>
    <row r="622" ht="12.75" customHeight="1">
      <c r="B622" s="2"/>
      <c r="C622" s="3"/>
    </row>
    <row r="623" ht="12.75" customHeight="1">
      <c r="B623" s="2"/>
      <c r="C623" s="3"/>
    </row>
    <row r="624" ht="12.75" customHeight="1">
      <c r="B624" s="2"/>
      <c r="C624" s="3"/>
    </row>
    <row r="625" ht="12.75" customHeight="1">
      <c r="B625" s="2"/>
      <c r="C625" s="3"/>
    </row>
    <row r="626" ht="12.75" customHeight="1">
      <c r="B626" s="2"/>
      <c r="C626" s="3"/>
    </row>
    <row r="627" ht="12.75" customHeight="1">
      <c r="B627" s="2"/>
      <c r="C627" s="3"/>
    </row>
    <row r="628" ht="12.75" customHeight="1">
      <c r="B628" s="2"/>
      <c r="C628" s="3"/>
    </row>
    <row r="629" ht="12.75" customHeight="1">
      <c r="B629" s="2"/>
      <c r="C629" s="3"/>
    </row>
    <row r="630" ht="12.75" customHeight="1">
      <c r="B630" s="2"/>
      <c r="C630" s="3"/>
    </row>
    <row r="631" ht="12.75" customHeight="1">
      <c r="B631" s="2"/>
      <c r="C631" s="3"/>
    </row>
    <row r="632" ht="12.75" customHeight="1">
      <c r="B632" s="2"/>
      <c r="C632" s="3"/>
    </row>
    <row r="633" ht="12.75" customHeight="1">
      <c r="B633" s="2"/>
      <c r="C633" s="3"/>
    </row>
    <row r="634" ht="12.75" customHeight="1">
      <c r="B634" s="2"/>
      <c r="C634" s="3"/>
    </row>
    <row r="635" ht="12.75" customHeight="1">
      <c r="B635" s="2"/>
      <c r="C635" s="3"/>
    </row>
    <row r="636" ht="12.75" customHeight="1">
      <c r="B636" s="2"/>
      <c r="C636" s="3"/>
    </row>
    <row r="637" ht="12.75" customHeight="1">
      <c r="B637" s="2"/>
      <c r="C637" s="3"/>
    </row>
    <row r="638" ht="12.75" customHeight="1">
      <c r="B638" s="2"/>
      <c r="C638" s="3"/>
    </row>
    <row r="639" ht="12.75" customHeight="1">
      <c r="B639" s="2"/>
      <c r="C639" s="3"/>
    </row>
    <row r="640" ht="12.75" customHeight="1">
      <c r="B640" s="2"/>
      <c r="C640" s="3"/>
    </row>
    <row r="641" ht="12.75" customHeight="1">
      <c r="B641" s="2"/>
      <c r="C641" s="3"/>
    </row>
    <row r="642" ht="12.75" customHeight="1">
      <c r="B642" s="2"/>
      <c r="C642" s="3"/>
    </row>
    <row r="643" ht="12.75" customHeight="1">
      <c r="B643" s="2"/>
      <c r="C643" s="3"/>
    </row>
    <row r="644" ht="12.75" customHeight="1">
      <c r="B644" s="2"/>
      <c r="C644" s="3"/>
    </row>
    <row r="645" ht="12.75" customHeight="1">
      <c r="B645" s="2"/>
      <c r="C645" s="3"/>
    </row>
    <row r="646" ht="12.75" customHeight="1">
      <c r="B646" s="2"/>
      <c r="C646" s="3"/>
    </row>
    <row r="647" ht="12.75" customHeight="1">
      <c r="B647" s="2"/>
      <c r="C647" s="3"/>
    </row>
    <row r="648" ht="12.75" customHeight="1">
      <c r="B648" s="2"/>
      <c r="C648" s="3"/>
    </row>
    <row r="649" ht="12.75" customHeight="1">
      <c r="B649" s="2"/>
      <c r="C649" s="3"/>
    </row>
    <row r="650" ht="12.75" customHeight="1">
      <c r="B650" s="2"/>
      <c r="C650" s="3"/>
    </row>
    <row r="651" ht="12.75" customHeight="1">
      <c r="B651" s="2"/>
      <c r="C651" s="3"/>
    </row>
    <row r="652" ht="12.75" customHeight="1">
      <c r="B652" s="2"/>
      <c r="C652" s="3"/>
    </row>
    <row r="653" ht="12.75" customHeight="1">
      <c r="B653" s="2"/>
      <c r="C653" s="3"/>
    </row>
    <row r="654" ht="12.75" customHeight="1">
      <c r="B654" s="2"/>
      <c r="C654" s="3"/>
    </row>
    <row r="655" ht="12.75" customHeight="1">
      <c r="B655" s="2"/>
      <c r="C655" s="3"/>
    </row>
    <row r="656" ht="12.75" customHeight="1">
      <c r="B656" s="2"/>
      <c r="C656" s="3"/>
    </row>
    <row r="657" ht="12.75" customHeight="1">
      <c r="B657" s="2"/>
      <c r="C657" s="3"/>
    </row>
    <row r="658" ht="12.75" customHeight="1">
      <c r="B658" s="2"/>
      <c r="C658" s="3"/>
    </row>
    <row r="659" ht="12.75" customHeight="1">
      <c r="B659" s="2"/>
      <c r="C659" s="3"/>
    </row>
    <row r="660" ht="12.75" customHeight="1">
      <c r="B660" s="2"/>
      <c r="C660" s="3"/>
    </row>
    <row r="661" ht="12.75" customHeight="1">
      <c r="B661" s="2"/>
      <c r="C661" s="3"/>
    </row>
    <row r="662" ht="12.75" customHeight="1">
      <c r="B662" s="2"/>
      <c r="C662" s="3"/>
    </row>
    <row r="663" ht="12.75" customHeight="1">
      <c r="B663" s="2"/>
      <c r="C663" s="3"/>
    </row>
    <row r="664" ht="12.75" customHeight="1">
      <c r="B664" s="2"/>
      <c r="C664" s="3"/>
    </row>
    <row r="665" ht="12.75" customHeight="1">
      <c r="B665" s="2"/>
      <c r="C665" s="3"/>
    </row>
    <row r="666" ht="12.75" customHeight="1">
      <c r="B666" s="2"/>
      <c r="C666" s="3"/>
    </row>
    <row r="667" ht="12.75" customHeight="1">
      <c r="B667" s="2"/>
      <c r="C667" s="3"/>
    </row>
    <row r="668" ht="12.75" customHeight="1">
      <c r="B668" s="2"/>
      <c r="C668" s="3"/>
    </row>
    <row r="669" ht="12.75" customHeight="1">
      <c r="B669" s="2"/>
      <c r="C669" s="3"/>
    </row>
    <row r="670" ht="12.75" customHeight="1">
      <c r="B670" s="2"/>
      <c r="C670" s="3"/>
    </row>
    <row r="671" ht="12.75" customHeight="1">
      <c r="B671" s="2"/>
      <c r="C671" s="3"/>
    </row>
    <row r="672" ht="12.75" customHeight="1">
      <c r="B672" s="2"/>
      <c r="C672" s="3"/>
    </row>
    <row r="673" ht="12.75" customHeight="1">
      <c r="B673" s="2"/>
      <c r="C673" s="3"/>
    </row>
    <row r="674" ht="12.75" customHeight="1">
      <c r="B674" s="2"/>
      <c r="C674" s="3"/>
    </row>
    <row r="675" ht="12.75" customHeight="1">
      <c r="B675" s="2"/>
      <c r="C675" s="3"/>
    </row>
    <row r="676" ht="12.75" customHeight="1">
      <c r="B676" s="2"/>
      <c r="C676" s="3"/>
    </row>
    <row r="677" ht="12.75" customHeight="1">
      <c r="B677" s="2"/>
      <c r="C677" s="3"/>
    </row>
    <row r="678" ht="12.75" customHeight="1">
      <c r="B678" s="2"/>
      <c r="C678" s="3"/>
    </row>
    <row r="679" ht="12.75" customHeight="1">
      <c r="B679" s="2"/>
      <c r="C679" s="3"/>
    </row>
    <row r="680" ht="12.75" customHeight="1">
      <c r="B680" s="2"/>
      <c r="C680" s="3"/>
    </row>
    <row r="681" ht="12.75" customHeight="1">
      <c r="B681" s="2"/>
      <c r="C681" s="3"/>
    </row>
    <row r="682" ht="12.75" customHeight="1">
      <c r="B682" s="2"/>
      <c r="C682" s="3"/>
    </row>
    <row r="683" ht="12.75" customHeight="1">
      <c r="B683" s="2"/>
      <c r="C683" s="3"/>
    </row>
    <row r="684" ht="12.75" customHeight="1">
      <c r="B684" s="2"/>
      <c r="C684" s="3"/>
    </row>
    <row r="685" ht="12.75" customHeight="1">
      <c r="B685" s="2"/>
      <c r="C685" s="3"/>
    </row>
    <row r="686" ht="12.75" customHeight="1">
      <c r="B686" s="2"/>
      <c r="C686" s="3"/>
    </row>
    <row r="687" ht="12.75" customHeight="1">
      <c r="B687" s="2"/>
      <c r="C687" s="3"/>
    </row>
    <row r="688" ht="12.75" customHeight="1">
      <c r="B688" s="2"/>
      <c r="C688" s="3"/>
    </row>
    <row r="689" ht="12.75" customHeight="1">
      <c r="B689" s="2"/>
      <c r="C689" s="3"/>
    </row>
    <row r="690" ht="12.75" customHeight="1">
      <c r="B690" s="2"/>
      <c r="C690" s="3"/>
    </row>
    <row r="691" ht="12.75" customHeight="1">
      <c r="B691" s="2"/>
      <c r="C691" s="3"/>
    </row>
    <row r="692" ht="12.75" customHeight="1">
      <c r="B692" s="2"/>
      <c r="C692" s="3"/>
    </row>
    <row r="693" ht="12.75" customHeight="1">
      <c r="B693" s="2"/>
      <c r="C693" s="3"/>
    </row>
    <row r="694" ht="12.75" customHeight="1">
      <c r="B694" s="2"/>
      <c r="C694" s="3"/>
    </row>
    <row r="695" ht="12.75" customHeight="1">
      <c r="B695" s="2"/>
      <c r="C695" s="3"/>
    </row>
    <row r="696" ht="12.75" customHeight="1">
      <c r="B696" s="2"/>
      <c r="C696" s="3"/>
    </row>
    <row r="697" ht="12.75" customHeight="1">
      <c r="B697" s="2"/>
      <c r="C697" s="3"/>
    </row>
    <row r="698" ht="12.75" customHeight="1">
      <c r="B698" s="2"/>
      <c r="C698" s="3"/>
    </row>
    <row r="699" ht="12.75" customHeight="1">
      <c r="B699" s="2"/>
      <c r="C699" s="3"/>
    </row>
    <row r="700" ht="12.75" customHeight="1">
      <c r="B700" s="2"/>
      <c r="C700" s="3"/>
    </row>
    <row r="701" ht="12.75" customHeight="1">
      <c r="B701" s="2"/>
      <c r="C701" s="3"/>
    </row>
    <row r="702" ht="12.75" customHeight="1">
      <c r="B702" s="2"/>
      <c r="C702" s="3"/>
    </row>
    <row r="703" ht="12.75" customHeight="1">
      <c r="B703" s="2"/>
      <c r="C703" s="3"/>
    </row>
    <row r="704" ht="12.75" customHeight="1">
      <c r="B704" s="2"/>
      <c r="C704" s="3"/>
    </row>
    <row r="705" ht="12.75" customHeight="1">
      <c r="B705" s="2"/>
      <c r="C705" s="3"/>
    </row>
    <row r="706" ht="12.75" customHeight="1">
      <c r="B706" s="2"/>
      <c r="C706" s="3"/>
    </row>
    <row r="707" ht="12.75" customHeight="1">
      <c r="B707" s="2"/>
      <c r="C707" s="3"/>
    </row>
    <row r="708" ht="12.75" customHeight="1">
      <c r="B708" s="2"/>
      <c r="C708" s="3"/>
    </row>
    <row r="709" ht="12.75" customHeight="1">
      <c r="B709" s="2"/>
      <c r="C709" s="3"/>
    </row>
    <row r="710" ht="12.75" customHeight="1">
      <c r="B710" s="2"/>
      <c r="C710" s="3"/>
    </row>
    <row r="711" ht="12.75" customHeight="1">
      <c r="B711" s="2"/>
      <c r="C711" s="3"/>
    </row>
    <row r="712" ht="12.75" customHeight="1">
      <c r="B712" s="2"/>
      <c r="C712" s="3"/>
    </row>
    <row r="713" ht="12.75" customHeight="1">
      <c r="B713" s="2"/>
      <c r="C713" s="3"/>
    </row>
    <row r="714" ht="12.75" customHeight="1">
      <c r="B714" s="2"/>
      <c r="C714" s="3"/>
    </row>
    <row r="715" ht="12.75" customHeight="1">
      <c r="B715" s="2"/>
      <c r="C715" s="3"/>
    </row>
    <row r="716" ht="12.75" customHeight="1">
      <c r="B716" s="2"/>
      <c r="C716" s="3"/>
    </row>
    <row r="717" ht="12.75" customHeight="1">
      <c r="B717" s="2"/>
      <c r="C717" s="3"/>
    </row>
    <row r="718" ht="12.75" customHeight="1">
      <c r="B718" s="2"/>
      <c r="C718" s="3"/>
    </row>
    <row r="719" ht="12.75" customHeight="1">
      <c r="B719" s="2"/>
      <c r="C719" s="3"/>
    </row>
    <row r="720" ht="12.75" customHeight="1">
      <c r="B720" s="2"/>
      <c r="C720" s="3"/>
    </row>
    <row r="721" ht="12.75" customHeight="1">
      <c r="B721" s="2"/>
      <c r="C721" s="3"/>
    </row>
    <row r="722" ht="12.75" customHeight="1">
      <c r="B722" s="2"/>
      <c r="C722" s="3"/>
    </row>
    <row r="723" ht="12.75" customHeight="1">
      <c r="B723" s="2"/>
      <c r="C723" s="3"/>
    </row>
    <row r="724" ht="12.75" customHeight="1">
      <c r="B724" s="2"/>
      <c r="C724" s="3"/>
    </row>
    <row r="725" ht="12.75" customHeight="1">
      <c r="B725" s="2"/>
      <c r="C725" s="3"/>
    </row>
    <row r="726" ht="12.75" customHeight="1">
      <c r="B726" s="2"/>
      <c r="C726" s="3"/>
    </row>
    <row r="727" ht="12.75" customHeight="1">
      <c r="B727" s="2"/>
      <c r="C727" s="3"/>
    </row>
    <row r="728" ht="12.75" customHeight="1">
      <c r="B728" s="2"/>
      <c r="C728" s="3"/>
    </row>
    <row r="729" ht="12.75" customHeight="1">
      <c r="B729" s="2"/>
      <c r="C729" s="3"/>
    </row>
    <row r="730" ht="12.75" customHeight="1">
      <c r="B730" s="2"/>
      <c r="C730" s="3"/>
    </row>
    <row r="731" ht="12.75" customHeight="1">
      <c r="B731" s="2"/>
      <c r="C731" s="3"/>
    </row>
    <row r="732" ht="12.75" customHeight="1">
      <c r="B732" s="2"/>
      <c r="C732" s="3"/>
    </row>
    <row r="733" ht="12.75" customHeight="1">
      <c r="B733" s="2"/>
      <c r="C733" s="3"/>
    </row>
    <row r="734" ht="12.75" customHeight="1">
      <c r="B734" s="2"/>
      <c r="C734" s="3"/>
    </row>
    <row r="735" ht="12.75" customHeight="1">
      <c r="B735" s="2"/>
      <c r="C735" s="3"/>
    </row>
    <row r="736" ht="12.75" customHeight="1">
      <c r="B736" s="2"/>
      <c r="C736" s="3"/>
    </row>
    <row r="737" ht="12.75" customHeight="1">
      <c r="B737" s="2"/>
      <c r="C737" s="3"/>
    </row>
    <row r="738" ht="12.75" customHeight="1">
      <c r="B738" s="2"/>
      <c r="C738" s="3"/>
    </row>
    <row r="739" ht="12.75" customHeight="1">
      <c r="B739" s="2"/>
      <c r="C739" s="3"/>
    </row>
    <row r="740" ht="12.75" customHeight="1">
      <c r="B740" s="2"/>
      <c r="C740" s="3"/>
    </row>
    <row r="741" ht="12.75" customHeight="1">
      <c r="B741" s="2"/>
      <c r="C741" s="3"/>
    </row>
    <row r="742" ht="12.75" customHeight="1">
      <c r="B742" s="2"/>
      <c r="C742" s="3"/>
    </row>
    <row r="743" ht="12.75" customHeight="1">
      <c r="B743" s="2"/>
      <c r="C743" s="3"/>
    </row>
    <row r="744" ht="12.75" customHeight="1">
      <c r="B744" s="2"/>
      <c r="C744" s="3"/>
    </row>
    <row r="745" ht="12.75" customHeight="1">
      <c r="B745" s="2"/>
      <c r="C745" s="3"/>
    </row>
    <row r="746" ht="12.75" customHeight="1">
      <c r="B746" s="2"/>
      <c r="C746" s="3"/>
    </row>
    <row r="747" ht="12.75" customHeight="1">
      <c r="B747" s="2"/>
      <c r="C747" s="3"/>
    </row>
    <row r="748" ht="12.75" customHeight="1">
      <c r="B748" s="2"/>
      <c r="C748" s="3"/>
    </row>
    <row r="749" ht="12.75" customHeight="1">
      <c r="B749" s="2"/>
      <c r="C749" s="3"/>
    </row>
    <row r="750" ht="12.75" customHeight="1">
      <c r="B750" s="2"/>
      <c r="C750" s="3"/>
    </row>
    <row r="751" ht="12.75" customHeight="1">
      <c r="B751" s="2"/>
      <c r="C751" s="3"/>
    </row>
    <row r="752" ht="12.75" customHeight="1">
      <c r="B752" s="2"/>
      <c r="C752" s="3"/>
    </row>
    <row r="753" ht="12.75" customHeight="1">
      <c r="B753" s="2"/>
      <c r="C753" s="3"/>
    </row>
    <row r="754" ht="12.75" customHeight="1">
      <c r="B754" s="2"/>
      <c r="C754" s="3"/>
    </row>
    <row r="755" ht="12.75" customHeight="1">
      <c r="B755" s="2"/>
      <c r="C755" s="3"/>
    </row>
    <row r="756" ht="12.75" customHeight="1">
      <c r="B756" s="2"/>
      <c r="C756" s="3"/>
    </row>
    <row r="757" ht="12.75" customHeight="1">
      <c r="B757" s="2"/>
      <c r="C757" s="3"/>
    </row>
    <row r="758" ht="12.75" customHeight="1">
      <c r="B758" s="2"/>
      <c r="C758" s="3"/>
    </row>
    <row r="759" ht="12.75" customHeight="1">
      <c r="B759" s="2"/>
      <c r="C759" s="3"/>
    </row>
    <row r="760" ht="12.75" customHeight="1">
      <c r="B760" s="2"/>
      <c r="C760" s="3"/>
    </row>
    <row r="761" ht="12.75" customHeight="1">
      <c r="B761" s="2"/>
      <c r="C761" s="3"/>
    </row>
    <row r="762" ht="12.75" customHeight="1">
      <c r="B762" s="2"/>
      <c r="C762" s="3"/>
    </row>
    <row r="763" ht="12.75" customHeight="1">
      <c r="B763" s="2"/>
      <c r="C763" s="3"/>
    </row>
    <row r="764" ht="12.75" customHeight="1">
      <c r="B764" s="2"/>
      <c r="C764" s="3"/>
    </row>
    <row r="765" ht="12.75" customHeight="1">
      <c r="B765" s="2"/>
      <c r="C765" s="3"/>
    </row>
    <row r="766" ht="12.75" customHeight="1">
      <c r="B766" s="2"/>
      <c r="C766" s="3"/>
    </row>
    <row r="767" ht="12.75" customHeight="1">
      <c r="B767" s="2"/>
      <c r="C767" s="3"/>
    </row>
    <row r="768" ht="12.75" customHeight="1">
      <c r="B768" s="2"/>
      <c r="C768" s="3"/>
    </row>
    <row r="769" ht="12.75" customHeight="1">
      <c r="B769" s="2"/>
      <c r="C769" s="3"/>
    </row>
    <row r="770" ht="12.75" customHeight="1">
      <c r="B770" s="2"/>
      <c r="C770" s="3"/>
    </row>
    <row r="771" ht="12.75" customHeight="1">
      <c r="B771" s="2"/>
      <c r="C771" s="3"/>
    </row>
    <row r="772" ht="12.75" customHeight="1">
      <c r="B772" s="2"/>
      <c r="C772" s="3"/>
    </row>
    <row r="773" ht="12.75" customHeight="1">
      <c r="B773" s="2"/>
      <c r="C773" s="3"/>
    </row>
    <row r="774" ht="12.75" customHeight="1">
      <c r="B774" s="2"/>
      <c r="C774" s="3"/>
    </row>
    <row r="775" ht="12.75" customHeight="1">
      <c r="B775" s="2"/>
      <c r="C775" s="3"/>
    </row>
    <row r="776" ht="12.75" customHeight="1">
      <c r="B776" s="2"/>
      <c r="C776" s="3"/>
    </row>
    <row r="777" ht="12.75" customHeight="1">
      <c r="B777" s="2"/>
      <c r="C777" s="3"/>
    </row>
    <row r="778" ht="12.75" customHeight="1">
      <c r="B778" s="2"/>
      <c r="C778" s="3"/>
    </row>
    <row r="779" ht="12.75" customHeight="1">
      <c r="B779" s="2"/>
      <c r="C779" s="3"/>
    </row>
    <row r="780" ht="12.75" customHeight="1">
      <c r="B780" s="2"/>
      <c r="C780" s="3"/>
    </row>
    <row r="781" ht="12.75" customHeight="1">
      <c r="B781" s="2"/>
      <c r="C781" s="3"/>
    </row>
    <row r="782" ht="12.75" customHeight="1">
      <c r="B782" s="2"/>
      <c r="C782" s="3"/>
    </row>
    <row r="783" ht="12.75" customHeight="1">
      <c r="B783" s="2"/>
      <c r="C783" s="3"/>
    </row>
    <row r="784" ht="12.75" customHeight="1">
      <c r="B784" s="2"/>
      <c r="C784" s="3"/>
    </row>
    <row r="785" ht="12.75" customHeight="1">
      <c r="B785" s="2"/>
      <c r="C785" s="3"/>
    </row>
    <row r="786" ht="12.75" customHeight="1">
      <c r="B786" s="2"/>
      <c r="C786" s="3"/>
    </row>
    <row r="787" ht="12.75" customHeight="1">
      <c r="B787" s="2"/>
      <c r="C787" s="3"/>
    </row>
    <row r="788" ht="12.75" customHeight="1">
      <c r="B788" s="2"/>
      <c r="C788" s="3"/>
    </row>
    <row r="789" ht="12.75" customHeight="1">
      <c r="B789" s="2"/>
      <c r="C789" s="3"/>
    </row>
    <row r="790" ht="12.75" customHeight="1">
      <c r="B790" s="2"/>
      <c r="C790" s="3"/>
    </row>
    <row r="791" ht="12.75" customHeight="1">
      <c r="B791" s="2"/>
      <c r="C791" s="3"/>
    </row>
    <row r="792" ht="12.75" customHeight="1">
      <c r="B792" s="2"/>
      <c r="C792" s="3"/>
    </row>
    <row r="793" ht="12.75" customHeight="1">
      <c r="B793" s="2"/>
      <c r="C793" s="3"/>
    </row>
    <row r="794" ht="12.75" customHeight="1">
      <c r="B794" s="2"/>
      <c r="C794" s="3"/>
    </row>
    <row r="795" ht="12.75" customHeight="1">
      <c r="B795" s="2"/>
      <c r="C795" s="3"/>
    </row>
    <row r="796" ht="12.75" customHeight="1">
      <c r="B796" s="2"/>
      <c r="C796" s="3"/>
    </row>
    <row r="797" ht="12.75" customHeight="1">
      <c r="B797" s="2"/>
      <c r="C797" s="3"/>
    </row>
    <row r="798" ht="12.75" customHeight="1">
      <c r="B798" s="2"/>
      <c r="C798" s="3"/>
    </row>
    <row r="799" ht="12.75" customHeight="1">
      <c r="B799" s="2"/>
      <c r="C799" s="3"/>
    </row>
    <row r="800" ht="12.75" customHeight="1">
      <c r="B800" s="2"/>
      <c r="C800" s="3"/>
    </row>
    <row r="801" ht="12.75" customHeight="1">
      <c r="B801" s="2"/>
      <c r="C801" s="3"/>
    </row>
    <row r="802" ht="12.75" customHeight="1">
      <c r="B802" s="2"/>
      <c r="C802" s="3"/>
    </row>
    <row r="803" ht="12.75" customHeight="1">
      <c r="B803" s="2"/>
      <c r="C803" s="3"/>
    </row>
    <row r="804" ht="12.75" customHeight="1">
      <c r="B804" s="2"/>
      <c r="C804" s="3"/>
    </row>
    <row r="805" ht="12.75" customHeight="1">
      <c r="B805" s="2"/>
      <c r="C805" s="3"/>
    </row>
    <row r="806" ht="12.75" customHeight="1">
      <c r="B806" s="2"/>
      <c r="C806" s="3"/>
    </row>
    <row r="807" ht="12.75" customHeight="1">
      <c r="B807" s="2"/>
      <c r="C807" s="3"/>
    </row>
    <row r="808" ht="12.75" customHeight="1">
      <c r="B808" s="2"/>
      <c r="C808" s="3"/>
    </row>
    <row r="809" ht="12.75" customHeight="1">
      <c r="B809" s="2"/>
      <c r="C809" s="3"/>
    </row>
    <row r="810" ht="12.75" customHeight="1">
      <c r="B810" s="2"/>
      <c r="C810" s="3"/>
    </row>
    <row r="811" ht="12.75" customHeight="1">
      <c r="B811" s="2"/>
      <c r="C811" s="3"/>
    </row>
    <row r="812" ht="12.75" customHeight="1">
      <c r="B812" s="2"/>
      <c r="C812" s="3"/>
    </row>
    <row r="813" ht="12.75" customHeight="1">
      <c r="B813" s="2"/>
      <c r="C813" s="3"/>
    </row>
    <row r="814" ht="12.75" customHeight="1">
      <c r="B814" s="2"/>
      <c r="C814" s="3"/>
    </row>
    <row r="815" ht="12.75" customHeight="1">
      <c r="B815" s="2"/>
      <c r="C815" s="3"/>
    </row>
    <row r="816" ht="12.75" customHeight="1">
      <c r="B816" s="2"/>
      <c r="C816" s="3"/>
    </row>
    <row r="817" ht="12.75" customHeight="1">
      <c r="B817" s="2"/>
      <c r="C817" s="3"/>
    </row>
    <row r="818" ht="12.75" customHeight="1">
      <c r="B818" s="2"/>
      <c r="C818" s="3"/>
    </row>
    <row r="819" ht="12.75" customHeight="1">
      <c r="B819" s="2"/>
      <c r="C819" s="3"/>
    </row>
    <row r="820" ht="12.75" customHeight="1">
      <c r="B820" s="2"/>
      <c r="C820" s="3"/>
    </row>
    <row r="821" ht="12.75" customHeight="1">
      <c r="B821" s="2"/>
      <c r="C821" s="3"/>
    </row>
    <row r="822" ht="12.75" customHeight="1">
      <c r="B822" s="2"/>
      <c r="C822" s="3"/>
    </row>
    <row r="823" ht="12.75" customHeight="1">
      <c r="B823" s="2"/>
      <c r="C823" s="3"/>
    </row>
    <row r="824" ht="12.75" customHeight="1">
      <c r="B824" s="2"/>
      <c r="C824" s="3"/>
    </row>
    <row r="825" ht="12.75" customHeight="1">
      <c r="B825" s="2"/>
      <c r="C825" s="3"/>
    </row>
    <row r="826" ht="12.75" customHeight="1">
      <c r="B826" s="2"/>
      <c r="C826" s="3"/>
    </row>
    <row r="827" ht="12.75" customHeight="1">
      <c r="B827" s="2"/>
      <c r="C827" s="3"/>
    </row>
    <row r="828" ht="12.75" customHeight="1">
      <c r="B828" s="2"/>
      <c r="C828" s="3"/>
    </row>
    <row r="829" ht="12.75" customHeight="1">
      <c r="B829" s="2"/>
      <c r="C829" s="3"/>
    </row>
    <row r="830" ht="12.75" customHeight="1">
      <c r="B830" s="2"/>
      <c r="C830" s="3"/>
    </row>
    <row r="831" ht="12.75" customHeight="1">
      <c r="B831" s="2"/>
      <c r="C831" s="3"/>
    </row>
    <row r="832" ht="12.75" customHeight="1">
      <c r="B832" s="2"/>
      <c r="C832" s="3"/>
    </row>
    <row r="833" ht="12.75" customHeight="1">
      <c r="B833" s="2"/>
      <c r="C833" s="3"/>
    </row>
    <row r="834" ht="12.75" customHeight="1">
      <c r="B834" s="2"/>
      <c r="C834" s="3"/>
    </row>
    <row r="835" ht="12.75" customHeight="1">
      <c r="B835" s="2"/>
      <c r="C835" s="3"/>
    </row>
    <row r="836" ht="12.75" customHeight="1">
      <c r="B836" s="2"/>
      <c r="C836" s="3"/>
    </row>
    <row r="837" ht="12.75" customHeight="1">
      <c r="B837" s="2"/>
      <c r="C837" s="3"/>
    </row>
    <row r="838" ht="12.75" customHeight="1">
      <c r="B838" s="2"/>
      <c r="C838" s="3"/>
    </row>
    <row r="839" ht="12.75" customHeight="1">
      <c r="B839" s="2"/>
      <c r="C839" s="3"/>
    </row>
    <row r="840" ht="12.75" customHeight="1">
      <c r="B840" s="2"/>
      <c r="C840" s="3"/>
    </row>
    <row r="841" ht="12.75" customHeight="1">
      <c r="B841" s="2"/>
      <c r="C841" s="3"/>
    </row>
    <row r="842" ht="12.75" customHeight="1">
      <c r="B842" s="2"/>
      <c r="C842" s="3"/>
    </row>
    <row r="843" ht="12.75" customHeight="1">
      <c r="B843" s="2"/>
      <c r="C843" s="3"/>
    </row>
    <row r="844" ht="12.75" customHeight="1">
      <c r="B844" s="2"/>
      <c r="C844" s="3"/>
    </row>
    <row r="845" ht="12.75" customHeight="1">
      <c r="B845" s="2"/>
      <c r="C845" s="3"/>
    </row>
    <row r="846" ht="12.75" customHeight="1">
      <c r="B846" s="2"/>
      <c r="C846" s="3"/>
    </row>
    <row r="847" ht="12.75" customHeight="1">
      <c r="B847" s="2"/>
      <c r="C847" s="3"/>
    </row>
    <row r="848" ht="12.75" customHeight="1">
      <c r="B848" s="2"/>
      <c r="C848" s="3"/>
    </row>
    <row r="849" ht="12.75" customHeight="1">
      <c r="B849" s="2"/>
      <c r="C849" s="3"/>
    </row>
    <row r="850" ht="12.75" customHeight="1">
      <c r="B850" s="2"/>
      <c r="C850" s="3"/>
    </row>
    <row r="851" ht="12.75" customHeight="1">
      <c r="B851" s="2"/>
      <c r="C851" s="3"/>
    </row>
    <row r="852" ht="12.75" customHeight="1">
      <c r="B852" s="2"/>
      <c r="C852" s="3"/>
    </row>
    <row r="853" ht="12.75" customHeight="1">
      <c r="B853" s="2"/>
      <c r="C853" s="3"/>
    </row>
    <row r="854" ht="12.75" customHeight="1">
      <c r="B854" s="2"/>
      <c r="C854" s="3"/>
    </row>
    <row r="855" ht="12.75" customHeight="1">
      <c r="B855" s="2"/>
      <c r="C855" s="3"/>
    </row>
    <row r="856" ht="12.75" customHeight="1">
      <c r="B856" s="2"/>
      <c r="C856" s="3"/>
    </row>
    <row r="857" ht="12.75" customHeight="1">
      <c r="B857" s="2"/>
      <c r="C857" s="3"/>
    </row>
    <row r="858" ht="12.75" customHeight="1">
      <c r="B858" s="2"/>
      <c r="C858" s="3"/>
    </row>
    <row r="859" ht="12.75" customHeight="1">
      <c r="B859" s="2"/>
      <c r="C859" s="3"/>
    </row>
    <row r="860" ht="12.75" customHeight="1">
      <c r="B860" s="2"/>
      <c r="C860" s="3"/>
    </row>
    <row r="861" ht="12.75" customHeight="1">
      <c r="B861" s="2"/>
      <c r="C861" s="3"/>
    </row>
    <row r="862" ht="12.75" customHeight="1">
      <c r="B862" s="2"/>
      <c r="C862" s="3"/>
    </row>
    <row r="863" ht="12.75" customHeight="1">
      <c r="B863" s="2"/>
      <c r="C863" s="3"/>
    </row>
    <row r="864" ht="12.75" customHeight="1">
      <c r="B864" s="2"/>
      <c r="C864" s="3"/>
    </row>
    <row r="865" ht="12.75" customHeight="1">
      <c r="B865" s="2"/>
      <c r="C865" s="3"/>
    </row>
    <row r="866" ht="12.75" customHeight="1">
      <c r="B866" s="2"/>
      <c r="C866" s="3"/>
    </row>
    <row r="867" ht="12.75" customHeight="1">
      <c r="B867" s="2"/>
      <c r="C867" s="3"/>
    </row>
    <row r="868" ht="12.75" customHeight="1">
      <c r="B868" s="2"/>
      <c r="C868" s="3"/>
    </row>
    <row r="869" ht="12.75" customHeight="1">
      <c r="B869" s="2"/>
      <c r="C869" s="3"/>
    </row>
    <row r="870" ht="12.75" customHeight="1">
      <c r="B870" s="2"/>
      <c r="C870" s="3"/>
    </row>
    <row r="871" ht="12.75" customHeight="1">
      <c r="B871" s="2"/>
      <c r="C871" s="3"/>
    </row>
    <row r="872" ht="12.75" customHeight="1">
      <c r="B872" s="2"/>
      <c r="C872" s="3"/>
    </row>
    <row r="873" ht="12.75" customHeight="1">
      <c r="B873" s="2"/>
      <c r="C873" s="3"/>
    </row>
    <row r="874" ht="12.75" customHeight="1">
      <c r="B874" s="2"/>
      <c r="C874" s="3"/>
    </row>
    <row r="875" ht="12.75" customHeight="1">
      <c r="B875" s="2"/>
      <c r="C875" s="3"/>
    </row>
    <row r="876" ht="12.75" customHeight="1">
      <c r="B876" s="2"/>
      <c r="C876" s="3"/>
    </row>
    <row r="877" ht="12.75" customHeight="1">
      <c r="B877" s="2"/>
      <c r="C877" s="3"/>
    </row>
    <row r="878" ht="12.75" customHeight="1">
      <c r="B878" s="2"/>
      <c r="C878" s="3"/>
    </row>
    <row r="879" ht="12.75" customHeight="1">
      <c r="B879" s="2"/>
      <c r="C879" s="3"/>
    </row>
    <row r="880" ht="12.75" customHeight="1">
      <c r="B880" s="2"/>
      <c r="C880" s="3"/>
    </row>
    <row r="881" ht="12.75" customHeight="1">
      <c r="B881" s="2"/>
      <c r="C881" s="3"/>
    </row>
    <row r="882" ht="12.75" customHeight="1">
      <c r="B882" s="2"/>
      <c r="C882" s="3"/>
    </row>
    <row r="883" ht="12.75" customHeight="1">
      <c r="B883" s="2"/>
      <c r="C883" s="3"/>
    </row>
    <row r="884" ht="12.75" customHeight="1">
      <c r="B884" s="2"/>
      <c r="C884" s="3"/>
    </row>
    <row r="885" ht="12.75" customHeight="1">
      <c r="B885" s="2"/>
      <c r="C885" s="3"/>
    </row>
    <row r="886" ht="12.75" customHeight="1">
      <c r="B886" s="2"/>
      <c r="C886" s="3"/>
    </row>
    <row r="887" ht="12.75" customHeight="1">
      <c r="B887" s="2"/>
      <c r="C887" s="3"/>
    </row>
    <row r="888" ht="12.75" customHeight="1">
      <c r="B888" s="2"/>
      <c r="C888" s="3"/>
    </row>
    <row r="889" ht="12.75" customHeight="1">
      <c r="B889" s="2"/>
      <c r="C889" s="3"/>
    </row>
    <row r="890" ht="12.75" customHeight="1">
      <c r="B890" s="2"/>
      <c r="C890" s="3"/>
    </row>
    <row r="891" ht="12.75" customHeight="1">
      <c r="B891" s="2"/>
      <c r="C891" s="3"/>
    </row>
    <row r="892" ht="12.75" customHeight="1">
      <c r="B892" s="2"/>
      <c r="C892" s="3"/>
    </row>
    <row r="893" ht="12.75" customHeight="1">
      <c r="B893" s="2"/>
      <c r="C893" s="3"/>
    </row>
    <row r="894" ht="12.75" customHeight="1">
      <c r="B894" s="2"/>
      <c r="C894" s="3"/>
    </row>
    <row r="895" ht="12.75" customHeight="1">
      <c r="B895" s="2"/>
      <c r="C895" s="3"/>
    </row>
    <row r="896" ht="12.75" customHeight="1">
      <c r="B896" s="2"/>
      <c r="C896" s="3"/>
    </row>
    <row r="897" ht="12.75" customHeight="1">
      <c r="B897" s="2"/>
      <c r="C897" s="3"/>
    </row>
    <row r="898" ht="12.75" customHeight="1">
      <c r="B898" s="2"/>
      <c r="C898" s="3"/>
    </row>
    <row r="899" ht="12.75" customHeight="1">
      <c r="B899" s="2"/>
      <c r="C899" s="3"/>
    </row>
    <row r="900" ht="12.75" customHeight="1">
      <c r="B900" s="2"/>
      <c r="C900" s="3"/>
    </row>
    <row r="901" ht="12.75" customHeight="1">
      <c r="B901" s="2"/>
      <c r="C901" s="3"/>
    </row>
    <row r="902" ht="12.75" customHeight="1">
      <c r="B902" s="2"/>
      <c r="C902" s="3"/>
    </row>
    <row r="903" ht="12.75" customHeight="1">
      <c r="B903" s="2"/>
      <c r="C903" s="3"/>
    </row>
    <row r="904" ht="12.75" customHeight="1">
      <c r="B904" s="2"/>
      <c r="C904" s="3"/>
    </row>
    <row r="905" ht="12.75" customHeight="1">
      <c r="B905" s="2"/>
      <c r="C905" s="3"/>
    </row>
    <row r="906" ht="12.75" customHeight="1">
      <c r="B906" s="2"/>
      <c r="C906" s="3"/>
    </row>
    <row r="907" ht="12.75" customHeight="1">
      <c r="B907" s="2"/>
      <c r="C907" s="3"/>
    </row>
    <row r="908" ht="12.75" customHeight="1">
      <c r="B908" s="2"/>
      <c r="C908" s="3"/>
    </row>
    <row r="909" ht="12.75" customHeight="1">
      <c r="B909" s="2"/>
      <c r="C909" s="3"/>
    </row>
    <row r="910" ht="12.75" customHeight="1">
      <c r="B910" s="2"/>
      <c r="C910" s="3"/>
    </row>
    <row r="911" ht="12.75" customHeight="1">
      <c r="B911" s="2"/>
      <c r="C911" s="3"/>
    </row>
    <row r="912" ht="12.75" customHeight="1">
      <c r="B912" s="2"/>
      <c r="C912" s="3"/>
    </row>
    <row r="913" ht="12.75" customHeight="1">
      <c r="B913" s="2"/>
      <c r="C913" s="3"/>
    </row>
    <row r="914" ht="12.75" customHeight="1">
      <c r="B914" s="2"/>
      <c r="C914" s="3"/>
    </row>
    <row r="915" ht="12.75" customHeight="1">
      <c r="B915" s="2"/>
      <c r="C915" s="3"/>
    </row>
    <row r="916" ht="12.75" customHeight="1">
      <c r="B916" s="2"/>
      <c r="C916" s="3"/>
    </row>
    <row r="917" ht="12.75" customHeight="1">
      <c r="B917" s="2"/>
      <c r="C917" s="3"/>
    </row>
    <row r="918" ht="12.75" customHeight="1">
      <c r="B918" s="2"/>
      <c r="C918" s="3"/>
    </row>
    <row r="919" ht="12.75" customHeight="1">
      <c r="B919" s="2"/>
      <c r="C919" s="3"/>
    </row>
    <row r="920" ht="12.75" customHeight="1">
      <c r="B920" s="2"/>
      <c r="C920" s="3"/>
    </row>
    <row r="921" ht="12.75" customHeight="1">
      <c r="B921" s="2"/>
      <c r="C921" s="3"/>
    </row>
    <row r="922" ht="12.75" customHeight="1">
      <c r="B922" s="2"/>
      <c r="C922" s="3"/>
    </row>
    <row r="923" ht="12.75" customHeight="1">
      <c r="B923" s="2"/>
      <c r="C923" s="3"/>
    </row>
    <row r="924" ht="12.75" customHeight="1">
      <c r="B924" s="2"/>
      <c r="C924" s="3"/>
    </row>
    <row r="925" ht="12.75" customHeight="1">
      <c r="B925" s="2"/>
      <c r="C925" s="3"/>
    </row>
    <row r="926" ht="12.75" customHeight="1">
      <c r="B926" s="2"/>
      <c r="C926" s="3"/>
    </row>
    <row r="927" ht="12.75" customHeight="1">
      <c r="B927" s="2"/>
      <c r="C927" s="3"/>
    </row>
    <row r="928" ht="12.75" customHeight="1">
      <c r="B928" s="2"/>
      <c r="C928" s="3"/>
    </row>
    <row r="929" ht="12.75" customHeight="1">
      <c r="B929" s="2"/>
      <c r="C929" s="3"/>
    </row>
    <row r="930" ht="12.75" customHeight="1">
      <c r="B930" s="2"/>
      <c r="C930" s="3"/>
    </row>
    <row r="931" ht="12.75" customHeight="1">
      <c r="B931" s="2"/>
      <c r="C931" s="3"/>
    </row>
    <row r="932" ht="12.75" customHeight="1">
      <c r="B932" s="2"/>
      <c r="C932" s="3"/>
    </row>
    <row r="933" ht="12.75" customHeight="1">
      <c r="B933" s="2"/>
      <c r="C933" s="3"/>
    </row>
    <row r="934" ht="12.75" customHeight="1">
      <c r="B934" s="2"/>
      <c r="C934" s="3"/>
    </row>
    <row r="935" ht="12.75" customHeight="1">
      <c r="B935" s="2"/>
      <c r="C935" s="3"/>
    </row>
    <row r="936" ht="12.75" customHeight="1">
      <c r="B936" s="2"/>
      <c r="C936" s="3"/>
    </row>
    <row r="937" ht="12.75" customHeight="1">
      <c r="B937" s="2"/>
      <c r="C937" s="3"/>
    </row>
    <row r="938" ht="12.75" customHeight="1">
      <c r="B938" s="2"/>
      <c r="C938" s="3"/>
    </row>
    <row r="939" ht="12.75" customHeight="1">
      <c r="B939" s="2"/>
      <c r="C939" s="3"/>
    </row>
    <row r="940" ht="12.75" customHeight="1">
      <c r="B940" s="2"/>
      <c r="C940" s="3"/>
    </row>
    <row r="941" ht="12.75" customHeight="1">
      <c r="B941" s="2"/>
      <c r="C941" s="3"/>
    </row>
    <row r="942" ht="12.75" customHeight="1">
      <c r="B942" s="2"/>
      <c r="C942" s="3"/>
    </row>
    <row r="943" ht="12.75" customHeight="1">
      <c r="B943" s="2"/>
      <c r="C943" s="3"/>
    </row>
    <row r="944" ht="12.75" customHeight="1">
      <c r="B944" s="2"/>
      <c r="C944" s="3"/>
    </row>
    <row r="945" ht="12.75" customHeight="1">
      <c r="B945" s="2"/>
      <c r="C945" s="3"/>
    </row>
    <row r="946" ht="12.75" customHeight="1">
      <c r="B946" s="2"/>
      <c r="C946" s="3"/>
    </row>
    <row r="947" ht="12.75" customHeight="1">
      <c r="B947" s="2"/>
      <c r="C947" s="3"/>
    </row>
    <row r="948" ht="12.75" customHeight="1">
      <c r="B948" s="2"/>
      <c r="C948" s="3"/>
    </row>
    <row r="949" ht="12.75" customHeight="1">
      <c r="B949" s="2"/>
      <c r="C949" s="3"/>
    </row>
    <row r="950" ht="12.75" customHeight="1">
      <c r="B950" s="2"/>
      <c r="C950" s="3"/>
    </row>
    <row r="951" ht="12.75" customHeight="1">
      <c r="B951" s="2"/>
      <c r="C951" s="3"/>
    </row>
    <row r="952" ht="12.75" customHeight="1">
      <c r="B952" s="2"/>
      <c r="C952" s="3"/>
    </row>
    <row r="953" ht="12.75" customHeight="1">
      <c r="B953" s="2"/>
      <c r="C953" s="3"/>
    </row>
    <row r="954" ht="12.75" customHeight="1">
      <c r="B954" s="2"/>
      <c r="C954" s="3"/>
    </row>
    <row r="955" ht="12.75" customHeight="1">
      <c r="B955" s="2"/>
      <c r="C955" s="3"/>
    </row>
    <row r="956" ht="12.75" customHeight="1">
      <c r="B956" s="2"/>
      <c r="C956" s="3"/>
    </row>
    <row r="957" ht="12.75" customHeight="1">
      <c r="B957" s="2"/>
      <c r="C957" s="3"/>
    </row>
    <row r="958" ht="12.75" customHeight="1">
      <c r="B958" s="2"/>
      <c r="C958" s="3"/>
    </row>
    <row r="959" ht="12.75" customHeight="1">
      <c r="B959" s="2"/>
      <c r="C959" s="3"/>
    </row>
    <row r="960" ht="12.75" customHeight="1">
      <c r="B960" s="2"/>
      <c r="C960" s="3"/>
    </row>
    <row r="961" ht="12.75" customHeight="1">
      <c r="B961" s="2"/>
      <c r="C961" s="3"/>
    </row>
    <row r="962" ht="12.75" customHeight="1">
      <c r="B962" s="2"/>
      <c r="C962" s="3"/>
    </row>
    <row r="963" ht="12.75" customHeight="1">
      <c r="B963" s="2"/>
      <c r="C963" s="3"/>
    </row>
    <row r="964" ht="12.75" customHeight="1">
      <c r="B964" s="2"/>
      <c r="C964" s="3"/>
    </row>
    <row r="965" ht="12.75" customHeight="1">
      <c r="B965" s="2"/>
      <c r="C965" s="3"/>
    </row>
    <row r="966" ht="12.75" customHeight="1">
      <c r="B966" s="2"/>
      <c r="C966" s="3"/>
    </row>
    <row r="967" ht="12.75" customHeight="1">
      <c r="B967" s="2"/>
      <c r="C967" s="3"/>
    </row>
    <row r="968" ht="12.75" customHeight="1">
      <c r="B968" s="2"/>
      <c r="C968" s="3"/>
    </row>
    <row r="969" ht="12.75" customHeight="1">
      <c r="B969" s="2"/>
      <c r="C969" s="3"/>
    </row>
    <row r="970" ht="12.75" customHeight="1">
      <c r="B970" s="2"/>
      <c r="C970" s="3"/>
    </row>
    <row r="971" ht="12.75" customHeight="1">
      <c r="B971" s="2"/>
      <c r="C971" s="3"/>
    </row>
    <row r="972" ht="12.75" customHeight="1">
      <c r="B972" s="2"/>
      <c r="C972" s="3"/>
    </row>
    <row r="973" ht="12.75" customHeight="1">
      <c r="B973" s="2"/>
      <c r="C973" s="3"/>
    </row>
    <row r="974" ht="12.75" customHeight="1">
      <c r="B974" s="2"/>
      <c r="C974" s="3"/>
    </row>
    <row r="975" ht="12.75" customHeight="1">
      <c r="B975" s="2"/>
      <c r="C975" s="3"/>
    </row>
    <row r="976" ht="12.75" customHeight="1">
      <c r="B976" s="2"/>
      <c r="C976" s="3"/>
    </row>
    <row r="977" ht="12.75" customHeight="1">
      <c r="B977" s="2"/>
      <c r="C977" s="3"/>
    </row>
    <row r="978" ht="12.75" customHeight="1">
      <c r="B978" s="2"/>
      <c r="C978" s="3"/>
    </row>
    <row r="979" ht="12.75" customHeight="1">
      <c r="B979" s="2"/>
      <c r="C979" s="3"/>
    </row>
    <row r="980" ht="12.75" customHeight="1">
      <c r="B980" s="2"/>
      <c r="C980" s="3"/>
    </row>
    <row r="981" ht="12.75" customHeight="1">
      <c r="B981" s="2"/>
      <c r="C981" s="3"/>
    </row>
    <row r="982" ht="12.75" customHeight="1">
      <c r="B982" s="2"/>
      <c r="C982" s="3"/>
    </row>
    <row r="983" ht="12.75" customHeight="1">
      <c r="B983" s="2"/>
      <c r="C983" s="3"/>
    </row>
    <row r="984" ht="12.75" customHeight="1">
      <c r="B984" s="2"/>
      <c r="C984" s="3"/>
    </row>
    <row r="985" ht="12.75" customHeight="1">
      <c r="B985" s="2"/>
      <c r="C985" s="3"/>
    </row>
    <row r="986" ht="12.75" customHeight="1">
      <c r="B986" s="2"/>
      <c r="C986" s="3"/>
    </row>
    <row r="987" ht="12.75" customHeight="1">
      <c r="B987" s="2"/>
      <c r="C987" s="3"/>
    </row>
    <row r="988" ht="12.75" customHeight="1">
      <c r="B988" s="2"/>
      <c r="C988" s="3"/>
    </row>
    <row r="989" ht="12.75" customHeight="1">
      <c r="B989" s="2"/>
      <c r="C989" s="3"/>
    </row>
    <row r="990" ht="12.75" customHeight="1">
      <c r="B990" s="2"/>
      <c r="C990" s="3"/>
    </row>
    <row r="991" ht="12.75" customHeight="1">
      <c r="B991" s="2"/>
      <c r="C991" s="3"/>
    </row>
    <row r="992" ht="12.75" customHeight="1">
      <c r="B992" s="2"/>
      <c r="C992" s="3"/>
    </row>
    <row r="993" ht="12.75" customHeight="1">
      <c r="B993" s="2"/>
      <c r="C993" s="3"/>
    </row>
    <row r="994" ht="12.75" customHeight="1">
      <c r="B994" s="2"/>
      <c r="C994" s="3"/>
    </row>
    <row r="995" ht="12.75" customHeight="1">
      <c r="B995" s="2"/>
      <c r="C995" s="3"/>
    </row>
    <row r="996" ht="12.75" customHeight="1">
      <c r="B996" s="2"/>
      <c r="C996" s="3"/>
    </row>
    <row r="997" ht="12.75" customHeight="1">
      <c r="B997" s="2"/>
      <c r="C997" s="3"/>
    </row>
    <row r="998" ht="12.75" customHeight="1">
      <c r="B998" s="2"/>
      <c r="C998" s="3"/>
    </row>
    <row r="999" ht="12.75" customHeight="1">
      <c r="B999" s="2"/>
      <c r="C999" s="3"/>
    </row>
    <row r="1000" ht="12.75" customHeight="1">
      <c r="B1000" s="2"/>
      <c r="C1000" s="3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63"/>
  </cols>
  <sheetData>
    <row r="1" ht="12.7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  <c r="J1" s="1" t="s">
        <v>3</v>
      </c>
      <c r="K1" s="1"/>
      <c r="L1" s="1" t="s">
        <v>4</v>
      </c>
      <c r="M1" s="1" t="s">
        <v>1</v>
      </c>
      <c r="N1" s="1" t="s">
        <v>2</v>
      </c>
      <c r="O1" s="1" t="s">
        <v>3</v>
      </c>
      <c r="P1" s="1"/>
      <c r="Q1" s="1" t="s">
        <v>5</v>
      </c>
      <c r="R1" s="1" t="s">
        <v>1</v>
      </c>
      <c r="S1" s="1" t="s">
        <v>2</v>
      </c>
      <c r="T1" s="1" t="s">
        <v>3</v>
      </c>
      <c r="U1" s="1" t="s">
        <v>6</v>
      </c>
      <c r="W1" s="1" t="s">
        <v>18</v>
      </c>
      <c r="X1" s="1"/>
    </row>
    <row r="2" ht="12.75" customHeight="1">
      <c r="A2" s="2"/>
      <c r="B2" s="2"/>
      <c r="C2" s="2"/>
      <c r="D2" s="7"/>
      <c r="E2" s="2"/>
      <c r="F2" s="2"/>
      <c r="G2" s="2" t="s">
        <v>19</v>
      </c>
      <c r="H2" s="2">
        <v>0.0</v>
      </c>
      <c r="I2" s="11">
        <f>-71.4166946411133+360</f>
        <v>288.5833054</v>
      </c>
      <c r="J2" s="7">
        <f t="shared" ref="J2:J39" si="1">SQRT((U3 - H2)^2 + (V3 - I2)^2)</f>
        <v>160.1857567</v>
      </c>
      <c r="L2" s="2" t="s">
        <v>19</v>
      </c>
      <c r="M2" s="2">
        <v>0.0</v>
      </c>
      <c r="N2" s="12">
        <f>-58.7929077148438+360</f>
        <v>301.2070923</v>
      </c>
      <c r="O2" s="3">
        <f t="shared" ref="O2:O39" si="2">SQRT((U3 - M2)^2 + (V3 - N2)^2)</f>
        <v>171.8138304</v>
      </c>
      <c r="Q2" s="2" t="s">
        <v>19</v>
      </c>
      <c r="R2" s="2">
        <v>0.0</v>
      </c>
      <c r="S2" s="12">
        <f>-73.2584228515625+360</f>
        <v>286.7415771</v>
      </c>
      <c r="T2" s="3">
        <f t="shared" ref="T2:T39" si="3">SQRT((U3 - R2)^2 + (V3 - S2)^2)</f>
        <v>158.5020319</v>
      </c>
      <c r="U2" s="1" t="s">
        <v>1</v>
      </c>
      <c r="V2" s="1" t="s">
        <v>2</v>
      </c>
      <c r="W2" s="1" t="s">
        <v>1</v>
      </c>
      <c r="X2" s="1" t="s">
        <v>2</v>
      </c>
    </row>
    <row r="3" ht="12.75" customHeight="1">
      <c r="A3" s="2"/>
      <c r="B3" s="2"/>
      <c r="C3" s="2"/>
      <c r="D3" s="7"/>
      <c r="E3" s="2"/>
      <c r="F3" s="2"/>
      <c r="G3" s="2" t="s">
        <v>7</v>
      </c>
      <c r="H3" s="2">
        <v>-36.9849319458008</v>
      </c>
      <c r="I3" s="2">
        <v>168.702392578125</v>
      </c>
      <c r="J3" s="7">
        <f t="shared" si="1"/>
        <v>38.40124389</v>
      </c>
      <c r="L3" s="2" t="s">
        <v>7</v>
      </c>
      <c r="M3" s="2">
        <v>-61.0206985473633</v>
      </c>
      <c r="N3" s="2">
        <v>-37.101188659668</v>
      </c>
      <c r="O3" s="3">
        <f t="shared" si="2"/>
        <v>179.1251908</v>
      </c>
      <c r="Q3" s="2" t="s">
        <v>7</v>
      </c>
      <c r="R3" s="2">
        <v>-91.4321212768555</v>
      </c>
      <c r="S3" s="2">
        <v>124.663986206055</v>
      </c>
      <c r="T3" s="3">
        <f t="shared" si="3"/>
        <v>31.9628217</v>
      </c>
      <c r="U3" s="4">
        <v>-64.5718739827474</v>
      </c>
      <c r="V3" s="4">
        <v>141.988797505697</v>
      </c>
    </row>
    <row r="4" ht="12.75" customHeight="1">
      <c r="A4" s="2"/>
      <c r="B4" s="2"/>
      <c r="C4" s="2"/>
      <c r="D4" s="7"/>
      <c r="E4" s="2"/>
      <c r="F4" s="2"/>
      <c r="G4" s="2" t="s">
        <v>8</v>
      </c>
      <c r="H4" s="2">
        <v>-56.4102401733399</v>
      </c>
      <c r="I4" s="2">
        <v>148.463912963867</v>
      </c>
      <c r="J4" s="7">
        <f t="shared" si="1"/>
        <v>10.41822378</v>
      </c>
      <c r="L4" s="2" t="s">
        <v>8</v>
      </c>
      <c r="M4" s="2">
        <v>-87.2350692749023</v>
      </c>
      <c r="N4" s="2">
        <v>-13.0761318206787</v>
      </c>
      <c r="O4" s="3">
        <f t="shared" si="2"/>
        <v>156.7123247</v>
      </c>
      <c r="Q4" s="2" t="s">
        <v>8</v>
      </c>
      <c r="R4" s="2">
        <v>-89.8550338745117</v>
      </c>
      <c r="S4" s="2">
        <v>132.712707519531</v>
      </c>
      <c r="T4" s="3">
        <f t="shared" si="3"/>
        <v>26.93109763</v>
      </c>
      <c r="U4" s="4">
        <v>-64.5718739827474</v>
      </c>
      <c r="V4" s="4">
        <v>141.988797505697</v>
      </c>
    </row>
    <row r="5" ht="12.75" customHeight="1">
      <c r="A5" s="2"/>
      <c r="B5" s="2"/>
      <c r="C5" s="2"/>
      <c r="D5" s="7"/>
      <c r="E5" s="2"/>
      <c r="F5" s="2"/>
      <c r="G5" s="2" t="s">
        <v>20</v>
      </c>
      <c r="H5" s="2">
        <v>-124.98851776123</v>
      </c>
      <c r="I5" s="2">
        <v>156.345199584961</v>
      </c>
      <c r="J5" s="7">
        <f t="shared" si="1"/>
        <v>62.09893015</v>
      </c>
      <c r="L5" s="2" t="s">
        <v>20</v>
      </c>
      <c r="M5" s="2">
        <v>-86.0497589111328</v>
      </c>
      <c r="N5" s="2">
        <v>9.55927753448486</v>
      </c>
      <c r="O5" s="3">
        <f t="shared" si="2"/>
        <v>134.1598945</v>
      </c>
      <c r="P5" s="2"/>
      <c r="Q5" s="2" t="s">
        <v>20</v>
      </c>
      <c r="R5" s="2">
        <v>-68.0310821533203</v>
      </c>
      <c r="S5" s="2">
        <v>156.41178894043</v>
      </c>
      <c r="T5" s="3">
        <f t="shared" si="3"/>
        <v>14.83201952</v>
      </c>
      <c r="U5" s="4">
        <v>-64.5718739827474</v>
      </c>
      <c r="V5" s="4">
        <v>141.988797505697</v>
      </c>
    </row>
    <row r="6" ht="12.75" customHeight="1">
      <c r="A6" s="2"/>
      <c r="B6" s="2"/>
      <c r="C6" s="2"/>
      <c r="D6" s="7"/>
      <c r="E6" s="2"/>
      <c r="F6" s="2"/>
      <c r="G6" s="2" t="s">
        <v>7</v>
      </c>
      <c r="H6" s="2">
        <v>43.4005699157715</v>
      </c>
      <c r="I6" s="5">
        <f>-164.159454345703+360</f>
        <v>195.8405457</v>
      </c>
      <c r="J6" s="7">
        <f t="shared" si="1"/>
        <v>120.6567836</v>
      </c>
      <c r="L6" s="2" t="s">
        <v>7</v>
      </c>
      <c r="M6" s="2">
        <v>-92.968879699707</v>
      </c>
      <c r="N6" s="2">
        <v>-138.789840698242</v>
      </c>
      <c r="O6" s="3">
        <f t="shared" si="2"/>
        <v>282.2109736</v>
      </c>
      <c r="P6" s="2"/>
      <c r="Q6" s="2" t="s">
        <v>7</v>
      </c>
      <c r="R6" s="2">
        <v>-82.0209045410156</v>
      </c>
      <c r="S6" s="5">
        <f>-167.857086181641+360</f>
        <v>192.1429138</v>
      </c>
      <c r="T6" s="3">
        <f t="shared" si="3"/>
        <v>53.10276877</v>
      </c>
      <c r="U6" s="4">
        <v>-64.5718739827474</v>
      </c>
      <c r="V6" s="4">
        <v>141.988797505697</v>
      </c>
    </row>
    <row r="7" ht="12.75" customHeight="1">
      <c r="A7" s="2"/>
      <c r="B7" s="2"/>
      <c r="C7" s="2"/>
      <c r="D7" s="7"/>
      <c r="E7" s="2"/>
      <c r="F7" s="2"/>
      <c r="G7" s="2" t="s">
        <v>8</v>
      </c>
      <c r="H7" s="2">
        <v>-90.9793701171875</v>
      </c>
      <c r="I7" s="2">
        <v>106.535514831543</v>
      </c>
      <c r="J7" s="7">
        <f t="shared" si="1"/>
        <v>44.20736482</v>
      </c>
      <c r="L7" s="2" t="s">
        <v>8</v>
      </c>
      <c r="M7" s="2">
        <v>-48.3522148132324</v>
      </c>
      <c r="N7" s="2">
        <v>162.130584716797</v>
      </c>
      <c r="O7" s="3">
        <f t="shared" si="2"/>
        <v>25.86056719</v>
      </c>
      <c r="P7" s="2"/>
      <c r="Q7" s="2" t="s">
        <v>8</v>
      </c>
      <c r="R7" s="2">
        <v>-38.5778846740723</v>
      </c>
      <c r="S7" s="2">
        <v>140.059219360352</v>
      </c>
      <c r="T7" s="3">
        <f t="shared" si="3"/>
        <v>26.06550886</v>
      </c>
      <c r="U7" s="4">
        <v>-64.5718739827474</v>
      </c>
      <c r="V7" s="4">
        <v>141.988797505697</v>
      </c>
    </row>
    <row r="8" ht="12.75" customHeight="1">
      <c r="A8" s="2"/>
      <c r="B8" s="2"/>
      <c r="C8" s="2"/>
      <c r="D8" s="7"/>
      <c r="E8" s="2"/>
      <c r="F8" s="2"/>
      <c r="G8" s="2" t="s">
        <v>20</v>
      </c>
      <c r="H8" s="2">
        <v>-46.1836242675781</v>
      </c>
      <c r="I8" s="2">
        <v>146.062515258789</v>
      </c>
      <c r="J8" s="7">
        <f t="shared" si="1"/>
        <v>18.83408888</v>
      </c>
      <c r="L8" s="2" t="s">
        <v>20</v>
      </c>
      <c r="M8" s="2">
        <v>-141.609634399414</v>
      </c>
      <c r="N8" s="2">
        <v>143.556640625</v>
      </c>
      <c r="O8" s="3">
        <f t="shared" si="2"/>
        <v>77.05371284</v>
      </c>
      <c r="P8" s="2"/>
      <c r="Q8" s="2" t="s">
        <v>20</v>
      </c>
      <c r="R8" s="2">
        <v>-61.4334869384766</v>
      </c>
      <c r="S8" s="2">
        <v>147.868698120117</v>
      </c>
      <c r="T8" s="3">
        <f t="shared" si="3"/>
        <v>6.66503597</v>
      </c>
      <c r="U8" s="4">
        <v>-64.5718739827474</v>
      </c>
      <c r="V8" s="4">
        <v>141.988797505697</v>
      </c>
    </row>
    <row r="9" ht="12.75" customHeight="1">
      <c r="A9" s="2"/>
      <c r="B9" s="2"/>
      <c r="C9" s="2"/>
      <c r="D9" s="7"/>
      <c r="E9" s="2"/>
      <c r="F9" s="2"/>
      <c r="G9" s="2" t="s">
        <v>7</v>
      </c>
      <c r="H9" s="2">
        <v>-83.387092590332</v>
      </c>
      <c r="I9" s="2">
        <v>174.42170715332</v>
      </c>
      <c r="J9" s="7">
        <f t="shared" si="1"/>
        <v>37.49541411</v>
      </c>
      <c r="L9" s="2" t="s">
        <v>7</v>
      </c>
      <c r="M9" s="2">
        <v>133.922103881836</v>
      </c>
      <c r="N9" s="5">
        <f>-176.74348449707+360</f>
        <v>183.2565155</v>
      </c>
      <c r="O9" s="3">
        <f t="shared" si="2"/>
        <v>202.7384616</v>
      </c>
      <c r="P9" s="2"/>
      <c r="Q9" s="2" t="s">
        <v>7</v>
      </c>
      <c r="R9" s="2">
        <v>-49.5858192443848</v>
      </c>
      <c r="S9" s="2">
        <v>170.168258666992</v>
      </c>
      <c r="T9" s="3">
        <f t="shared" si="3"/>
        <v>31.91651403</v>
      </c>
      <c r="U9" s="4">
        <v>-64.5718739827474</v>
      </c>
      <c r="V9" s="4">
        <v>141.988797505697</v>
      </c>
    </row>
    <row r="10" ht="12.75" customHeight="1">
      <c r="A10" s="2"/>
      <c r="B10" s="2"/>
      <c r="C10" s="2"/>
      <c r="D10" s="7"/>
      <c r="E10" s="2"/>
      <c r="F10" s="2"/>
      <c r="G10" s="2" t="s">
        <v>8</v>
      </c>
      <c r="H10" s="2">
        <v>-59.8295555114746</v>
      </c>
      <c r="I10" s="2">
        <v>166.587905883789</v>
      </c>
      <c r="J10" s="7">
        <f t="shared" si="1"/>
        <v>25.05206014</v>
      </c>
      <c r="L10" s="2" t="s">
        <v>8</v>
      </c>
      <c r="M10" s="2">
        <v>-68.6504669189453</v>
      </c>
      <c r="N10" s="2">
        <v>145.856460571289</v>
      </c>
      <c r="O10" s="3">
        <f t="shared" si="2"/>
        <v>5.620830715</v>
      </c>
      <c r="P10" s="2"/>
      <c r="Q10" s="2" t="s">
        <v>8</v>
      </c>
      <c r="R10" s="2">
        <v>-78.7250366210938</v>
      </c>
      <c r="S10" s="2">
        <v>165.71142578125</v>
      </c>
      <c r="T10" s="3">
        <f t="shared" si="3"/>
        <v>27.62381409</v>
      </c>
      <c r="U10" s="4">
        <v>-64.5718739827474</v>
      </c>
      <c r="V10" s="4">
        <v>141.988797505697</v>
      </c>
    </row>
    <row r="11" ht="12.75" customHeight="1">
      <c r="A11" s="2"/>
      <c r="B11" s="2"/>
      <c r="C11" s="2"/>
      <c r="D11" s="7"/>
      <c r="E11" s="2"/>
      <c r="F11" s="2"/>
      <c r="G11" s="2" t="s">
        <v>20</v>
      </c>
      <c r="H11" s="2">
        <v>-61.6513175964356</v>
      </c>
      <c r="I11" s="2">
        <v>144.17073059082</v>
      </c>
      <c r="J11" s="7">
        <f t="shared" si="1"/>
        <v>3.645611278</v>
      </c>
      <c r="L11" s="2" t="s">
        <v>20</v>
      </c>
      <c r="M11" s="2">
        <v>-84.6659240722656</v>
      </c>
      <c r="N11" s="2">
        <v>129.350006103516</v>
      </c>
      <c r="O11" s="3">
        <f t="shared" si="2"/>
        <v>23.7383634</v>
      </c>
      <c r="P11" s="2"/>
      <c r="Q11" s="2" t="s">
        <v>20</v>
      </c>
      <c r="R11" s="2">
        <v>-82.344367980957</v>
      </c>
      <c r="S11" s="2">
        <v>156.889465332031</v>
      </c>
      <c r="T11" s="3">
        <f t="shared" si="3"/>
        <v>23.19248681</v>
      </c>
      <c r="U11" s="4">
        <v>-64.5718739827474</v>
      </c>
      <c r="V11" s="4">
        <v>141.988797505697</v>
      </c>
    </row>
    <row r="12" ht="12.75" customHeight="1">
      <c r="A12" s="2"/>
      <c r="B12" s="2"/>
      <c r="C12" s="2"/>
      <c r="D12" s="7"/>
      <c r="E12" s="2"/>
      <c r="F12" s="2"/>
      <c r="G12" s="2" t="s">
        <v>7</v>
      </c>
      <c r="H12" s="2">
        <v>-68.981559753418</v>
      </c>
      <c r="I12" s="2">
        <v>176.672378540039</v>
      </c>
      <c r="J12" s="7">
        <f t="shared" si="1"/>
        <v>34.96278195</v>
      </c>
      <c r="L12" s="2" t="s">
        <v>7</v>
      </c>
      <c r="M12" s="2">
        <v>-53.9186096191406</v>
      </c>
      <c r="N12" s="2">
        <v>166.921920776367</v>
      </c>
      <c r="O12" s="3">
        <f t="shared" si="2"/>
        <v>27.11369908</v>
      </c>
      <c r="P12" s="2"/>
      <c r="Q12" s="2" t="s">
        <v>7</v>
      </c>
      <c r="R12" s="2">
        <v>-63.2890663146973</v>
      </c>
      <c r="S12" s="2">
        <v>168.993988037109</v>
      </c>
      <c r="T12" s="3">
        <f t="shared" si="3"/>
        <v>27.0356415</v>
      </c>
      <c r="U12" s="4">
        <v>-64.5718739827474</v>
      </c>
      <c r="V12" s="4">
        <v>141.988797505697</v>
      </c>
    </row>
    <row r="13" ht="12.75" customHeight="1">
      <c r="A13" s="2"/>
      <c r="B13" s="2"/>
      <c r="C13" s="2"/>
      <c r="D13" s="7"/>
      <c r="E13" s="2"/>
      <c r="F13" s="2"/>
      <c r="G13" s="2" t="s">
        <v>8</v>
      </c>
      <c r="H13" s="2">
        <v>-39.9919548034668</v>
      </c>
      <c r="I13" s="2">
        <v>141.116729736328</v>
      </c>
      <c r="J13" s="7">
        <f t="shared" si="1"/>
        <v>24.5953843</v>
      </c>
      <c r="L13" s="2" t="s">
        <v>8</v>
      </c>
      <c r="M13" s="2">
        <v>-53.5082702636719</v>
      </c>
      <c r="N13" s="2">
        <v>144.770751953125</v>
      </c>
      <c r="O13" s="3">
        <f t="shared" si="2"/>
        <v>11.40800586</v>
      </c>
      <c r="P13" s="2"/>
      <c r="Q13" s="2" t="s">
        <v>8</v>
      </c>
      <c r="R13" s="2">
        <v>-36.737247467041</v>
      </c>
      <c r="S13" s="2">
        <v>140.338394165039</v>
      </c>
      <c r="T13" s="3">
        <f t="shared" si="3"/>
        <v>27.88351241</v>
      </c>
      <c r="U13" s="4">
        <v>-64.5718739827474</v>
      </c>
      <c r="V13" s="4">
        <v>141.988797505697</v>
      </c>
    </row>
    <row r="14" ht="12.75" customHeight="1">
      <c r="A14" s="2"/>
      <c r="B14" s="2"/>
      <c r="C14" s="2"/>
      <c r="D14" s="7"/>
      <c r="E14" s="2"/>
      <c r="F14" s="2"/>
      <c r="G14" s="2" t="s">
        <v>20</v>
      </c>
      <c r="H14" s="2">
        <v>-72.7498474121094</v>
      </c>
      <c r="I14" s="2">
        <v>133.747543334961</v>
      </c>
      <c r="J14" s="7">
        <f t="shared" si="1"/>
        <v>11.6102334</v>
      </c>
      <c r="L14" s="2" t="s">
        <v>20</v>
      </c>
      <c r="M14" s="2">
        <v>-62.3393440246582</v>
      </c>
      <c r="N14" s="2">
        <v>135.250244140625</v>
      </c>
      <c r="O14" s="3">
        <f t="shared" si="2"/>
        <v>7.098752811</v>
      </c>
      <c r="P14" s="2"/>
      <c r="Q14" s="2" t="s">
        <v>20</v>
      </c>
      <c r="R14" s="2">
        <v>-56.488639831543</v>
      </c>
      <c r="S14" s="2">
        <v>133.751968383789</v>
      </c>
      <c r="T14" s="3">
        <f t="shared" si="3"/>
        <v>11.54053848</v>
      </c>
      <c r="U14" s="4">
        <v>-64.5718739827474</v>
      </c>
      <c r="V14" s="4">
        <v>141.988797505697</v>
      </c>
    </row>
    <row r="15" ht="12.75" customHeight="1">
      <c r="A15" s="2"/>
      <c r="B15" s="2"/>
      <c r="C15" s="2"/>
      <c r="D15" s="7"/>
      <c r="E15" s="2"/>
      <c r="F15" s="2"/>
      <c r="G15" s="2" t="s">
        <v>7</v>
      </c>
      <c r="H15" s="2">
        <v>-51.2877655029297</v>
      </c>
      <c r="I15" s="2">
        <v>170.550384521484</v>
      </c>
      <c r="J15" s="7">
        <f t="shared" si="1"/>
        <v>31.49971097</v>
      </c>
      <c r="L15" s="2" t="s">
        <v>7</v>
      </c>
      <c r="M15" s="2">
        <v>-69.6447296142578</v>
      </c>
      <c r="N15" s="5">
        <f>-177.978668212891+360</f>
        <v>182.0213318</v>
      </c>
      <c r="O15" s="3">
        <f t="shared" si="2"/>
        <v>40.35266615</v>
      </c>
      <c r="P15" s="2"/>
      <c r="Q15" s="2" t="s">
        <v>7</v>
      </c>
      <c r="R15" s="2">
        <v>-56.2294654846191</v>
      </c>
      <c r="S15" s="2">
        <v>164.951873779297</v>
      </c>
      <c r="T15" s="3">
        <f t="shared" si="3"/>
        <v>24.4315094</v>
      </c>
      <c r="U15" s="4">
        <v>-64.5718739827474</v>
      </c>
      <c r="V15" s="4">
        <v>141.988797505697</v>
      </c>
    </row>
    <row r="16" ht="12.75" customHeight="1">
      <c r="A16" s="2"/>
      <c r="B16" s="2"/>
      <c r="C16" s="2"/>
      <c r="D16" s="7"/>
      <c r="E16" s="2"/>
      <c r="F16" s="2"/>
      <c r="G16" s="2" t="s">
        <v>8</v>
      </c>
      <c r="H16" s="2">
        <v>-83.5781631469727</v>
      </c>
      <c r="I16" s="2">
        <v>156.091064453125</v>
      </c>
      <c r="J16" s="7">
        <f t="shared" si="1"/>
        <v>23.66670575</v>
      </c>
      <c r="L16" s="2" t="s">
        <v>8</v>
      </c>
      <c r="M16" s="2">
        <v>-51.7679481506348</v>
      </c>
      <c r="N16" s="2">
        <v>132.12858581543</v>
      </c>
      <c r="O16" s="3">
        <f t="shared" si="2"/>
        <v>16.16057831</v>
      </c>
      <c r="P16" s="2"/>
      <c r="Q16" s="2" t="s">
        <v>8</v>
      </c>
      <c r="R16" s="2">
        <v>-70.9090576171875</v>
      </c>
      <c r="S16" s="2">
        <v>155.185623168945</v>
      </c>
      <c r="T16" s="3">
        <f t="shared" si="3"/>
        <v>14.63953906</v>
      </c>
      <c r="U16" s="4">
        <v>-64.5718739827474</v>
      </c>
      <c r="V16" s="4">
        <v>141.988797505697</v>
      </c>
    </row>
    <row r="17" ht="12.75" customHeight="1">
      <c r="A17" s="2"/>
      <c r="B17" s="2"/>
      <c r="C17" s="2"/>
      <c r="D17" s="7"/>
      <c r="E17" s="2"/>
      <c r="F17" s="2"/>
      <c r="G17" s="2" t="s">
        <v>21</v>
      </c>
      <c r="H17" s="2">
        <v>-45.8025741577148</v>
      </c>
      <c r="I17" s="2">
        <v>128.981002807617</v>
      </c>
      <c r="J17" s="7">
        <f t="shared" si="1"/>
        <v>22.83614107</v>
      </c>
      <c r="L17" s="2" t="s">
        <v>21</v>
      </c>
      <c r="M17" s="2">
        <v>-37.9826583862305</v>
      </c>
      <c r="N17" s="2">
        <v>138.289077758789</v>
      </c>
      <c r="O17" s="3">
        <f t="shared" si="2"/>
        <v>26.84537786</v>
      </c>
      <c r="P17" s="2"/>
      <c r="Q17" s="2" t="s">
        <v>21</v>
      </c>
      <c r="R17" s="2">
        <v>-49.5388336181641</v>
      </c>
      <c r="S17" s="2">
        <v>154.574813842773</v>
      </c>
      <c r="T17" s="3">
        <f t="shared" si="3"/>
        <v>19.60612429</v>
      </c>
      <c r="U17" s="4">
        <v>-64.5718739827474</v>
      </c>
      <c r="V17" s="4">
        <v>141.988797505697</v>
      </c>
    </row>
    <row r="18" ht="12.75" customHeight="1">
      <c r="A18" s="2"/>
      <c r="B18" s="2"/>
      <c r="C18" s="2"/>
      <c r="D18" s="7"/>
      <c r="E18" s="2"/>
      <c r="F18" s="2"/>
      <c r="G18" s="2" t="s">
        <v>7</v>
      </c>
      <c r="H18" s="2">
        <v>-71.6203536987305</v>
      </c>
      <c r="I18" s="5">
        <f>-175.695892333984+360</f>
        <v>184.3041077</v>
      </c>
      <c r="J18" s="7">
        <f t="shared" si="1"/>
        <v>42.89832794</v>
      </c>
      <c r="L18" s="2" t="s">
        <v>7</v>
      </c>
      <c r="M18" s="2">
        <v>-58.5143814086914</v>
      </c>
      <c r="N18" s="2">
        <v>158.771621704102</v>
      </c>
      <c r="O18" s="3">
        <f t="shared" si="2"/>
        <v>17.84254478</v>
      </c>
      <c r="P18" s="2"/>
      <c r="Q18" s="2" t="s">
        <v>7</v>
      </c>
      <c r="R18" s="2">
        <v>-71.0633773803711</v>
      </c>
      <c r="S18" s="2">
        <v>172.159057617188</v>
      </c>
      <c r="T18" s="3">
        <f t="shared" si="3"/>
        <v>30.8607228</v>
      </c>
      <c r="U18" s="4">
        <v>-64.5718739827474</v>
      </c>
      <c r="V18" s="4">
        <v>141.988797505697</v>
      </c>
    </row>
    <row r="19" ht="12.75" customHeight="1">
      <c r="A19" s="2"/>
      <c r="B19" s="2"/>
      <c r="C19" s="2"/>
      <c r="D19" s="7"/>
      <c r="E19" s="2"/>
      <c r="F19" s="2"/>
      <c r="G19" s="2" t="s">
        <v>8</v>
      </c>
      <c r="H19" s="2">
        <v>-51.2217216491699</v>
      </c>
      <c r="I19" s="2">
        <v>149.336776733398</v>
      </c>
      <c r="J19" s="7">
        <f t="shared" si="1"/>
        <v>15.23874555</v>
      </c>
      <c r="L19" s="2" t="s">
        <v>8</v>
      </c>
      <c r="M19" s="2">
        <v>-39.0955238342285</v>
      </c>
      <c r="N19" s="2">
        <v>140.179077148438</v>
      </c>
      <c r="O19" s="3">
        <f t="shared" si="2"/>
        <v>25.54054629</v>
      </c>
      <c r="P19" s="2"/>
      <c r="Q19" s="2" t="s">
        <v>8</v>
      </c>
      <c r="R19" s="2">
        <v>-39.1332740783691</v>
      </c>
      <c r="S19" s="2">
        <v>150.568313598633</v>
      </c>
      <c r="T19" s="3">
        <f t="shared" si="3"/>
        <v>26.84642363</v>
      </c>
      <c r="U19" s="4">
        <v>-64.5718739827474</v>
      </c>
      <c r="V19" s="4">
        <v>141.988797505697</v>
      </c>
    </row>
    <row r="20" ht="12.75" customHeight="1">
      <c r="A20" s="2"/>
      <c r="B20" s="2"/>
      <c r="C20" s="2"/>
      <c r="D20" s="7"/>
      <c r="E20" s="2"/>
      <c r="F20" s="2"/>
      <c r="G20" s="2" t="s">
        <v>21</v>
      </c>
      <c r="H20" s="2">
        <v>-38.8964576721191</v>
      </c>
      <c r="I20" s="2">
        <v>127.682548522949</v>
      </c>
      <c r="J20" s="7">
        <f t="shared" si="1"/>
        <v>29.39210375</v>
      </c>
      <c r="L20" s="2" t="s">
        <v>21</v>
      </c>
      <c r="M20" s="2">
        <v>-36.598331451416</v>
      </c>
      <c r="N20" s="2">
        <v>136.084762573242</v>
      </c>
      <c r="O20" s="3">
        <f t="shared" si="2"/>
        <v>28.58980081</v>
      </c>
      <c r="P20" s="2"/>
      <c r="Q20" s="2" t="s">
        <v>21</v>
      </c>
      <c r="R20" s="2">
        <v>-40.4202346801758</v>
      </c>
      <c r="S20" s="2">
        <v>141.697494506836</v>
      </c>
      <c r="T20" s="3">
        <f t="shared" si="3"/>
        <v>24.153396</v>
      </c>
      <c r="U20" s="4">
        <v>-64.5718739827474</v>
      </c>
      <c r="V20" s="4">
        <v>141.988797505697</v>
      </c>
    </row>
    <row r="21" ht="12.75" customHeight="1">
      <c r="A21" s="2"/>
      <c r="B21" s="2"/>
      <c r="C21" s="2"/>
      <c r="D21" s="7"/>
      <c r="E21" s="2"/>
      <c r="F21" s="2"/>
      <c r="G21" s="2" t="s">
        <v>7</v>
      </c>
      <c r="H21" s="2">
        <v>-64.4760208129883</v>
      </c>
      <c r="I21" s="5">
        <f>-173.769271850586+360</f>
        <v>186.2307281</v>
      </c>
      <c r="J21" s="7">
        <f t="shared" si="1"/>
        <v>44.24203448</v>
      </c>
      <c r="L21" s="2" t="s">
        <v>7</v>
      </c>
      <c r="M21" s="2">
        <v>-53.5349578857422</v>
      </c>
      <c r="N21" s="2">
        <v>174.715194702148</v>
      </c>
      <c r="O21" s="3">
        <f t="shared" si="2"/>
        <v>34.53737961</v>
      </c>
      <c r="P21" s="2"/>
      <c r="Q21" s="2" t="s">
        <v>7</v>
      </c>
      <c r="R21" s="2">
        <v>-62.2425117492676</v>
      </c>
      <c r="S21" s="2">
        <v>177.646087646484</v>
      </c>
      <c r="T21" s="3">
        <f t="shared" si="3"/>
        <v>35.73329356</v>
      </c>
      <c r="U21" s="4">
        <v>-64.5718739827474</v>
      </c>
      <c r="V21" s="4">
        <v>141.988797505697</v>
      </c>
    </row>
    <row r="22" ht="12.75" customHeight="1">
      <c r="A22" s="2"/>
      <c r="B22" s="2"/>
      <c r="C22" s="2"/>
      <c r="D22" s="7"/>
      <c r="E22" s="2"/>
      <c r="F22" s="2"/>
      <c r="G22" s="2" t="s">
        <v>8</v>
      </c>
      <c r="H22" s="2">
        <v>-43.3266410827637</v>
      </c>
      <c r="I22" s="2">
        <v>126.18416595459</v>
      </c>
      <c r="J22" s="7">
        <f t="shared" si="1"/>
        <v>26.47916727</v>
      </c>
      <c r="L22" s="2" t="s">
        <v>8</v>
      </c>
      <c r="M22" s="2">
        <v>-41.8570442199707</v>
      </c>
      <c r="N22" s="2">
        <v>148.267044067383</v>
      </c>
      <c r="O22" s="3">
        <f t="shared" si="2"/>
        <v>23.56649891</v>
      </c>
      <c r="P22" s="2"/>
      <c r="Q22" s="2" t="s">
        <v>8</v>
      </c>
      <c r="R22" s="2">
        <v>-49.2593498229981</v>
      </c>
      <c r="S22" s="2">
        <v>149.097915649414</v>
      </c>
      <c r="T22" s="3">
        <f t="shared" si="3"/>
        <v>16.88232676</v>
      </c>
      <c r="U22" s="4">
        <v>-64.5718739827474</v>
      </c>
      <c r="V22" s="4">
        <v>141.988797505697</v>
      </c>
    </row>
    <row r="23" ht="12.75" customHeight="1">
      <c r="A23" s="2"/>
      <c r="B23" s="2"/>
      <c r="C23" s="2"/>
      <c r="D23" s="7"/>
      <c r="E23" s="2"/>
      <c r="F23" s="2"/>
      <c r="G23" s="2" t="s">
        <v>21</v>
      </c>
      <c r="H23" s="2">
        <v>-46.4800758361816</v>
      </c>
      <c r="I23" s="2">
        <v>146.210388183594</v>
      </c>
      <c r="J23" s="7">
        <f t="shared" si="1"/>
        <v>18.57780902</v>
      </c>
      <c r="L23" s="2" t="s">
        <v>21</v>
      </c>
      <c r="M23" s="2">
        <v>-44.5293197631836</v>
      </c>
      <c r="N23" s="2">
        <v>137.923721313477</v>
      </c>
      <c r="O23" s="3">
        <f t="shared" si="2"/>
        <v>20.45064361</v>
      </c>
      <c r="P23" s="2"/>
      <c r="Q23" s="2" t="s">
        <v>21</v>
      </c>
      <c r="R23" s="2">
        <v>-47.6430473327637</v>
      </c>
      <c r="S23" s="2">
        <v>151.303100585938</v>
      </c>
      <c r="T23" s="3">
        <f t="shared" si="3"/>
        <v>19.32204476</v>
      </c>
      <c r="U23" s="4">
        <v>-64.5718739827474</v>
      </c>
      <c r="V23" s="4">
        <v>141.988797505697</v>
      </c>
    </row>
    <row r="24" ht="12.75" customHeight="1">
      <c r="A24" s="2"/>
      <c r="B24" s="2"/>
      <c r="C24" s="2"/>
      <c r="D24" s="7"/>
      <c r="E24" s="2"/>
      <c r="F24" s="2"/>
      <c r="G24" s="2" t="s">
        <v>7</v>
      </c>
      <c r="H24" s="2">
        <v>-59.4147300720215</v>
      </c>
      <c r="I24" s="2">
        <v>152.8759765625</v>
      </c>
      <c r="J24" s="7">
        <f t="shared" si="1"/>
        <v>12.04685856</v>
      </c>
      <c r="L24" s="2" t="s">
        <v>7</v>
      </c>
      <c r="M24" s="2">
        <v>-64.8940582275391</v>
      </c>
      <c r="N24" s="2">
        <v>174.228546142578</v>
      </c>
      <c r="O24" s="3">
        <f t="shared" si="2"/>
        <v>32.24135845</v>
      </c>
      <c r="P24" s="2"/>
      <c r="Q24" s="2" t="s">
        <v>7</v>
      </c>
      <c r="R24" s="2">
        <v>-72.3412322998047</v>
      </c>
      <c r="S24" s="2">
        <v>173.595199584961</v>
      </c>
      <c r="T24" s="3">
        <f t="shared" si="3"/>
        <v>32.54731296</v>
      </c>
      <c r="U24" s="4">
        <v>-64.5718739827474</v>
      </c>
      <c r="V24" s="4">
        <v>141.988797505697</v>
      </c>
    </row>
    <row r="25" ht="12.75" customHeight="1">
      <c r="A25" s="2"/>
      <c r="B25" s="2"/>
      <c r="C25" s="2"/>
      <c r="D25" s="7"/>
      <c r="E25" s="2"/>
      <c r="F25" s="2"/>
      <c r="G25" s="2" t="s">
        <v>8</v>
      </c>
      <c r="H25" s="2">
        <v>-34.8500747680664</v>
      </c>
      <c r="I25" s="2">
        <v>138.675827026367</v>
      </c>
      <c r="J25" s="7">
        <f t="shared" si="1"/>
        <v>29.90587103</v>
      </c>
      <c r="L25" s="2" t="s">
        <v>8</v>
      </c>
      <c r="M25" s="2">
        <v>-42.2829322814941</v>
      </c>
      <c r="N25" s="2">
        <v>150.946365356445</v>
      </c>
      <c r="O25" s="3">
        <f t="shared" si="2"/>
        <v>24.02155166</v>
      </c>
      <c r="P25" s="2"/>
      <c r="Q25" s="2" t="s">
        <v>8</v>
      </c>
      <c r="R25" s="2">
        <v>-62.7471580505371</v>
      </c>
      <c r="S25" s="2">
        <v>135.148086547852</v>
      </c>
      <c r="T25" s="3">
        <f t="shared" si="3"/>
        <v>7.079895101</v>
      </c>
      <c r="U25" s="4">
        <v>-64.5718739827474</v>
      </c>
      <c r="V25" s="4">
        <v>141.988797505697</v>
      </c>
    </row>
    <row r="26" ht="12.75" customHeight="1">
      <c r="A26" s="2"/>
      <c r="B26" s="2"/>
      <c r="C26" s="2"/>
      <c r="D26" s="7"/>
      <c r="E26" s="2"/>
      <c r="F26" s="2"/>
      <c r="G26" s="2" t="s">
        <v>21</v>
      </c>
      <c r="H26" s="2">
        <v>-50.8470764160156</v>
      </c>
      <c r="I26" s="2">
        <v>139.049179077148</v>
      </c>
      <c r="J26" s="7">
        <f t="shared" si="1"/>
        <v>14.03607583</v>
      </c>
      <c r="L26" s="2" t="s">
        <v>21</v>
      </c>
      <c r="M26" s="2">
        <v>-48.2609329223633</v>
      </c>
      <c r="N26" s="2">
        <v>135.73974609375</v>
      </c>
      <c r="O26" s="3">
        <f t="shared" si="2"/>
        <v>17.46703873</v>
      </c>
      <c r="P26" s="2"/>
      <c r="Q26" s="2" t="s">
        <v>21</v>
      </c>
      <c r="R26" s="2">
        <v>-48.9600105285645</v>
      </c>
      <c r="S26" s="2">
        <v>141.503402709961</v>
      </c>
      <c r="T26" s="3">
        <f t="shared" si="3"/>
        <v>15.61940743</v>
      </c>
      <c r="U26" s="4">
        <v>-64.5718739827474</v>
      </c>
      <c r="V26" s="4">
        <v>141.988797505697</v>
      </c>
    </row>
    <row r="27" ht="12.75" customHeight="1">
      <c r="A27" s="2"/>
      <c r="B27" s="2"/>
      <c r="C27" s="2"/>
      <c r="D27" s="7"/>
      <c r="E27" s="2"/>
      <c r="F27" s="2"/>
      <c r="G27" s="2" t="s">
        <v>7</v>
      </c>
      <c r="H27" s="2">
        <v>-66.0787734985352</v>
      </c>
      <c r="I27" s="2">
        <v>172.407318115234</v>
      </c>
      <c r="J27" s="7">
        <f t="shared" si="1"/>
        <v>30.4558228</v>
      </c>
      <c r="L27" s="2" t="s">
        <v>7</v>
      </c>
      <c r="M27" s="2">
        <v>-50.3244667053223</v>
      </c>
      <c r="N27" s="2">
        <v>160.216567993164</v>
      </c>
      <c r="O27" s="3">
        <f t="shared" si="2"/>
        <v>23.13525948</v>
      </c>
      <c r="P27" s="2"/>
      <c r="Q27" s="2" t="s">
        <v>7</v>
      </c>
      <c r="R27" s="2">
        <v>-66.3509368896484</v>
      </c>
      <c r="S27" s="2">
        <v>177.088256835938</v>
      </c>
      <c r="T27" s="3">
        <f t="shared" si="3"/>
        <v>35.1445175</v>
      </c>
      <c r="U27" s="4">
        <v>-64.5718739827474</v>
      </c>
      <c r="V27" s="4">
        <v>141.988797505697</v>
      </c>
    </row>
    <row r="28" ht="12.75" customHeight="1">
      <c r="A28" s="2"/>
      <c r="B28" s="2"/>
      <c r="C28" s="2"/>
      <c r="D28" s="7"/>
      <c r="E28" s="2"/>
      <c r="F28" s="2"/>
      <c r="G28" s="2" t="s">
        <v>15</v>
      </c>
      <c r="H28" s="2">
        <v>-66.5565872192383</v>
      </c>
      <c r="I28" s="2">
        <v>145.710235595703</v>
      </c>
      <c r="J28" s="7">
        <f t="shared" si="1"/>
        <v>4.217604544</v>
      </c>
      <c r="L28" s="2" t="s">
        <v>15</v>
      </c>
      <c r="M28" s="2">
        <v>-53.1197357177734</v>
      </c>
      <c r="N28" s="2">
        <v>134.588363647461</v>
      </c>
      <c r="O28" s="3">
        <f t="shared" si="2"/>
        <v>13.63517114</v>
      </c>
      <c r="P28" s="2"/>
      <c r="Q28" s="2" t="s">
        <v>15</v>
      </c>
      <c r="R28" s="2">
        <v>-56.8378067016602</v>
      </c>
      <c r="S28" s="2">
        <v>134.448577880859</v>
      </c>
      <c r="T28" s="3">
        <f t="shared" si="3"/>
        <v>10.80142161</v>
      </c>
      <c r="U28" s="4">
        <v>-64.5718739827474</v>
      </c>
      <c r="V28" s="4">
        <v>141.988797505697</v>
      </c>
    </row>
    <row r="29" ht="12.75" customHeight="1">
      <c r="A29" s="2"/>
      <c r="B29" s="2"/>
      <c r="C29" s="2"/>
      <c r="D29" s="7"/>
      <c r="E29" s="2"/>
      <c r="F29" s="2"/>
      <c r="G29" s="2" t="s">
        <v>21</v>
      </c>
      <c r="H29" s="2">
        <v>-47.9833526611328</v>
      </c>
      <c r="I29" s="2">
        <v>135.454345703125</v>
      </c>
      <c r="J29" s="7">
        <f t="shared" si="1"/>
        <v>17.82913627</v>
      </c>
      <c r="L29" s="2" t="s">
        <v>21</v>
      </c>
      <c r="M29" s="2">
        <v>-39.0534248352051</v>
      </c>
      <c r="N29" s="2">
        <v>133.419158935547</v>
      </c>
      <c r="O29" s="3">
        <f t="shared" si="2"/>
        <v>26.91895154</v>
      </c>
      <c r="P29" s="2"/>
      <c r="Q29" s="2" t="s">
        <v>21</v>
      </c>
      <c r="R29" s="2">
        <v>-38.2917022705078</v>
      </c>
      <c r="S29" s="2">
        <v>139.81672668457</v>
      </c>
      <c r="T29" s="3">
        <f t="shared" si="3"/>
        <v>26.36978037</v>
      </c>
      <c r="U29" s="4">
        <v>-64.5718739827474</v>
      </c>
      <c r="V29" s="4">
        <v>141.988797505697</v>
      </c>
    </row>
    <row r="30" ht="12.75" customHeight="1">
      <c r="A30" s="2"/>
      <c r="B30" s="2"/>
      <c r="C30" s="2"/>
      <c r="D30" s="7"/>
      <c r="E30" s="2"/>
      <c r="F30" s="2"/>
      <c r="G30" s="2" t="s">
        <v>7</v>
      </c>
      <c r="H30" s="2">
        <v>-64.104606628418</v>
      </c>
      <c r="I30" s="2">
        <v>161.175430297852</v>
      </c>
      <c r="J30" s="7">
        <f t="shared" si="1"/>
        <v>19.19232182</v>
      </c>
      <c r="L30" s="2" t="s">
        <v>7</v>
      </c>
      <c r="M30" s="2">
        <v>-55.452579498291</v>
      </c>
      <c r="N30" s="2">
        <v>163.660903930664</v>
      </c>
      <c r="O30" s="3">
        <f t="shared" si="2"/>
        <v>23.5125866</v>
      </c>
      <c r="P30" s="2"/>
      <c r="Q30" s="2" t="s">
        <v>7</v>
      </c>
      <c r="R30" s="2">
        <v>-58.7900276184082</v>
      </c>
      <c r="S30" s="2">
        <v>168.050521850586</v>
      </c>
      <c r="T30" s="3">
        <f t="shared" si="3"/>
        <v>26.69537831</v>
      </c>
      <c r="U30" s="4">
        <v>-64.5718739827474</v>
      </c>
      <c r="V30" s="4">
        <v>141.988797505697</v>
      </c>
    </row>
    <row r="31" ht="12.75" customHeight="1">
      <c r="A31" s="2"/>
      <c r="B31" s="2"/>
      <c r="C31" s="2"/>
      <c r="D31" s="7"/>
      <c r="E31" s="2"/>
      <c r="F31" s="2"/>
      <c r="G31" s="2" t="s">
        <v>15</v>
      </c>
      <c r="H31" s="2">
        <v>-59.0843887329102</v>
      </c>
      <c r="I31" s="2">
        <v>141.056427001953</v>
      </c>
      <c r="J31" s="7">
        <f t="shared" si="1"/>
        <v>5.566130534</v>
      </c>
      <c r="L31" s="2" t="s">
        <v>15</v>
      </c>
      <c r="M31" s="2">
        <v>-57.4387474060059</v>
      </c>
      <c r="N31" s="2">
        <v>136.225326538086</v>
      </c>
      <c r="O31" s="3">
        <f t="shared" si="2"/>
        <v>9.170555728</v>
      </c>
      <c r="P31" s="2"/>
      <c r="Q31" s="2" t="s">
        <v>15</v>
      </c>
      <c r="R31" s="2">
        <v>-60.5620384216309</v>
      </c>
      <c r="S31" s="2">
        <v>134.403060913086</v>
      </c>
      <c r="T31" s="3">
        <f t="shared" si="3"/>
        <v>8.580336874</v>
      </c>
      <c r="U31" s="4">
        <v>-64.5718739827474</v>
      </c>
      <c r="V31" s="4">
        <v>141.988797505697</v>
      </c>
    </row>
    <row r="32" ht="12.75" customHeight="1">
      <c r="A32" s="2"/>
      <c r="B32" s="2"/>
      <c r="C32" s="2"/>
      <c r="D32" s="7"/>
      <c r="E32" s="2"/>
      <c r="F32" s="2"/>
      <c r="G32" s="2" t="s">
        <v>21</v>
      </c>
      <c r="H32" s="2">
        <v>-55.37646484375</v>
      </c>
      <c r="I32" s="2">
        <v>155.853012084961</v>
      </c>
      <c r="J32" s="7">
        <f t="shared" si="1"/>
        <v>16.63646582</v>
      </c>
      <c r="L32" s="2" t="s">
        <v>21</v>
      </c>
      <c r="M32" s="2">
        <v>-36.7224159240723</v>
      </c>
      <c r="N32" s="2">
        <v>133.464233398438</v>
      </c>
      <c r="O32" s="3">
        <f t="shared" si="2"/>
        <v>29.12491214</v>
      </c>
      <c r="P32" s="2"/>
      <c r="Q32" s="2" t="s">
        <v>21</v>
      </c>
      <c r="R32" s="2">
        <v>-55.1618957519531</v>
      </c>
      <c r="S32" s="2">
        <v>142.092926025391</v>
      </c>
      <c r="T32" s="3">
        <f t="shared" si="3"/>
        <v>9.410554344</v>
      </c>
      <c r="U32" s="4">
        <v>-64.5718739827474</v>
      </c>
      <c r="V32" s="4">
        <v>141.988797505697</v>
      </c>
    </row>
    <row r="33" ht="12.75" customHeight="1">
      <c r="A33" s="2"/>
      <c r="B33" s="2"/>
      <c r="C33" s="2"/>
      <c r="D33" s="7"/>
      <c r="E33" s="2"/>
      <c r="F33" s="2"/>
      <c r="G33" s="2" t="s">
        <v>7</v>
      </c>
      <c r="H33" s="2">
        <v>-64.4206085205078</v>
      </c>
      <c r="I33" s="2">
        <v>175.234252929688</v>
      </c>
      <c r="J33" s="7">
        <f t="shared" si="1"/>
        <v>33.24579955</v>
      </c>
      <c r="L33" s="2" t="s">
        <v>7</v>
      </c>
      <c r="M33" s="2">
        <v>-75.0832214355469</v>
      </c>
      <c r="N33" s="2">
        <v>175.377746582031</v>
      </c>
      <c r="O33" s="3">
        <f t="shared" si="2"/>
        <v>35.00443323</v>
      </c>
      <c r="P33" s="2"/>
      <c r="Q33" s="2" t="s">
        <v>7</v>
      </c>
      <c r="R33" s="2">
        <v>-54.6913719177246</v>
      </c>
      <c r="S33" s="2">
        <v>162.691986083984</v>
      </c>
      <c r="T33" s="3">
        <f t="shared" si="3"/>
        <v>22.94005969</v>
      </c>
      <c r="U33" s="4">
        <v>-64.5718739827474</v>
      </c>
      <c r="V33" s="4">
        <v>141.988797505697</v>
      </c>
    </row>
    <row r="34" ht="12.75" customHeight="1">
      <c r="A34" s="2"/>
      <c r="B34" s="2"/>
      <c r="C34" s="2"/>
      <c r="D34" s="7"/>
      <c r="E34" s="2"/>
      <c r="F34" s="2"/>
      <c r="G34" s="2" t="s">
        <v>15</v>
      </c>
      <c r="H34" s="2">
        <v>-61.9326667785645</v>
      </c>
      <c r="I34" s="2">
        <v>144.003341674805</v>
      </c>
      <c r="J34" s="7">
        <f t="shared" si="1"/>
        <v>3.32021127</v>
      </c>
      <c r="L34" s="2" t="s">
        <v>15</v>
      </c>
      <c r="M34" s="2">
        <v>-64.672492980957</v>
      </c>
      <c r="N34" s="2">
        <v>145.476181030273</v>
      </c>
      <c r="O34" s="3">
        <f t="shared" si="2"/>
        <v>3.488834767</v>
      </c>
      <c r="P34" s="2"/>
      <c r="Q34" s="2" t="s">
        <v>15</v>
      </c>
      <c r="R34" s="2">
        <v>-70.0696487426758</v>
      </c>
      <c r="S34" s="2">
        <v>143.687896728516</v>
      </c>
      <c r="T34" s="3">
        <f t="shared" si="3"/>
        <v>5.754343184</v>
      </c>
      <c r="U34" s="4">
        <v>-64.5718739827474</v>
      </c>
      <c r="V34" s="4">
        <v>141.988797505697</v>
      </c>
    </row>
    <row r="35" ht="12.75" customHeight="1">
      <c r="A35" s="2"/>
      <c r="B35" s="2"/>
      <c r="C35" s="2"/>
      <c r="D35" s="7"/>
      <c r="E35" s="2"/>
      <c r="F35" s="2"/>
      <c r="G35" s="2" t="s">
        <v>21</v>
      </c>
      <c r="H35" s="2">
        <v>-56.8818206787109</v>
      </c>
      <c r="I35" s="2">
        <v>158.966705322266</v>
      </c>
      <c r="J35" s="7">
        <f t="shared" si="1"/>
        <v>18.63830125</v>
      </c>
      <c r="L35" s="2" t="s">
        <v>21</v>
      </c>
      <c r="M35" s="2">
        <v>-28.8988075256348</v>
      </c>
      <c r="N35" s="2">
        <v>128.582305908203</v>
      </c>
      <c r="O35" s="3">
        <f t="shared" si="2"/>
        <v>38.10907618</v>
      </c>
      <c r="P35" s="2"/>
      <c r="Q35" s="2" t="s">
        <v>21</v>
      </c>
      <c r="R35" s="2">
        <v>-43.9560127258301</v>
      </c>
      <c r="S35" s="2">
        <v>129.970016479492</v>
      </c>
      <c r="T35" s="3">
        <f t="shared" si="3"/>
        <v>23.8634623</v>
      </c>
      <c r="U35" s="4">
        <v>-64.5718739827474</v>
      </c>
      <c r="V35" s="4">
        <v>141.988797505697</v>
      </c>
    </row>
    <row r="36" ht="12.75" customHeight="1">
      <c r="A36" s="2"/>
      <c r="B36" s="2"/>
      <c r="C36" s="2"/>
      <c r="D36" s="7"/>
      <c r="E36" s="2"/>
      <c r="F36" s="2"/>
      <c r="G36" s="2" t="s">
        <v>7</v>
      </c>
      <c r="H36" s="2">
        <v>-60.0337562561035</v>
      </c>
      <c r="I36" s="5">
        <f>-177.128387451172+360</f>
        <v>182.8716125</v>
      </c>
      <c r="J36" s="7">
        <f t="shared" si="1"/>
        <v>41.1339164</v>
      </c>
      <c r="L36" s="2" t="s">
        <v>7</v>
      </c>
      <c r="M36" s="2">
        <v>-54.1360244750977</v>
      </c>
      <c r="N36" s="2">
        <v>165.956207275391</v>
      </c>
      <c r="O36" s="3">
        <f t="shared" si="2"/>
        <v>26.14084325</v>
      </c>
      <c r="P36" s="2"/>
      <c r="Q36" s="2" t="s">
        <v>7</v>
      </c>
      <c r="R36" s="2">
        <v>-49.852424621582</v>
      </c>
      <c r="S36" s="2">
        <v>161.303085327148</v>
      </c>
      <c r="T36" s="3">
        <f t="shared" si="3"/>
        <v>24.28381979</v>
      </c>
      <c r="U36" s="4">
        <v>-64.5718739827474</v>
      </c>
      <c r="V36" s="4">
        <v>141.988797505697</v>
      </c>
    </row>
    <row r="37" ht="12.75" customHeight="1">
      <c r="A37" s="2"/>
      <c r="B37" s="2"/>
      <c r="C37" s="2"/>
      <c r="D37" s="7"/>
      <c r="E37" s="2"/>
      <c r="F37" s="2"/>
      <c r="G37" s="2" t="s">
        <v>15</v>
      </c>
      <c r="H37" s="2">
        <v>-61.4974327087402</v>
      </c>
      <c r="I37" s="2">
        <v>148.543090820313</v>
      </c>
      <c r="J37" s="7">
        <f t="shared" si="1"/>
        <v>7.239540731</v>
      </c>
      <c r="L37" s="2" t="s">
        <v>15</v>
      </c>
      <c r="M37" s="2">
        <v>-58.4038467407227</v>
      </c>
      <c r="N37" s="2">
        <v>127.047027587891</v>
      </c>
      <c r="O37" s="3">
        <f t="shared" si="2"/>
        <v>16.16480895</v>
      </c>
      <c r="P37" s="2"/>
      <c r="Q37" s="2" t="s">
        <v>15</v>
      </c>
      <c r="R37" s="2">
        <v>-83.4014663696289</v>
      </c>
      <c r="S37" s="2">
        <v>143.712768554688</v>
      </c>
      <c r="T37" s="3">
        <f t="shared" si="3"/>
        <v>18.90834804</v>
      </c>
      <c r="U37" s="4">
        <v>-64.5718739827474</v>
      </c>
      <c r="V37" s="4">
        <v>141.988797505697</v>
      </c>
    </row>
    <row r="38" ht="12.75" customHeight="1">
      <c r="A38" s="2"/>
      <c r="B38" s="2"/>
      <c r="C38" s="2"/>
      <c r="D38" s="7"/>
      <c r="E38" s="2"/>
      <c r="F38" s="2"/>
      <c r="G38" s="2" t="s">
        <v>21</v>
      </c>
      <c r="H38" s="2">
        <v>-44.4577827453613</v>
      </c>
      <c r="I38" s="2">
        <v>149.86003112793</v>
      </c>
      <c r="J38" s="7">
        <f t="shared" si="1"/>
        <v>21.59937464</v>
      </c>
      <c r="L38" s="2" t="s">
        <v>21</v>
      </c>
      <c r="M38" s="2">
        <v>-41.341667175293</v>
      </c>
      <c r="N38" s="2">
        <v>149.581405639648</v>
      </c>
      <c r="O38" s="3">
        <f t="shared" si="2"/>
        <v>24.43952141</v>
      </c>
      <c r="P38" s="2"/>
      <c r="Q38" s="2" t="s">
        <v>21</v>
      </c>
      <c r="R38" s="2">
        <v>-34.5170516967773</v>
      </c>
      <c r="S38" s="2">
        <v>133.151519775391</v>
      </c>
      <c r="T38" s="3">
        <f t="shared" si="3"/>
        <v>31.32714191</v>
      </c>
      <c r="U38" s="4">
        <v>-64.5718739827474</v>
      </c>
      <c r="V38" s="4">
        <v>141.988797505697</v>
      </c>
    </row>
    <row r="39" ht="12.75" customHeight="1">
      <c r="A39" s="2"/>
      <c r="B39" s="2"/>
      <c r="C39" s="2"/>
      <c r="D39" s="7"/>
      <c r="E39" s="2"/>
      <c r="F39" s="2"/>
      <c r="G39" s="2" t="s">
        <v>7</v>
      </c>
      <c r="H39" s="2">
        <v>59.1520118713379</v>
      </c>
      <c r="I39" s="2">
        <v>0.0</v>
      </c>
      <c r="J39" s="7">
        <f t="shared" si="1"/>
        <v>188.3306097</v>
      </c>
      <c r="L39" s="2" t="s">
        <v>7</v>
      </c>
      <c r="M39" s="2">
        <v>-45.3465042114258</v>
      </c>
      <c r="N39" s="2">
        <v>0.0</v>
      </c>
      <c r="O39" s="3">
        <f t="shared" si="2"/>
        <v>143.2844495</v>
      </c>
      <c r="P39" s="2"/>
      <c r="Q39" s="2" t="s">
        <v>7</v>
      </c>
      <c r="R39" s="2">
        <v>-77.3299102783203</v>
      </c>
      <c r="S39" s="2">
        <v>0.0</v>
      </c>
      <c r="T39" s="3">
        <f t="shared" si="3"/>
        <v>142.5608155</v>
      </c>
      <c r="U39" s="4">
        <v>-64.5718739827474</v>
      </c>
      <c r="V39" s="4">
        <v>141.988797505697</v>
      </c>
    </row>
    <row r="40" ht="12.75" customHeight="1">
      <c r="U40" s="4">
        <v>-64.5718739827474</v>
      </c>
      <c r="V40" s="4">
        <v>141.988797505697</v>
      </c>
    </row>
    <row r="41" ht="12.75" customHeight="1">
      <c r="B41" s="1"/>
      <c r="H41" s="1" t="s">
        <v>16</v>
      </c>
      <c r="L41" s="8" t="s">
        <v>17</v>
      </c>
      <c r="M41" s="8" t="s">
        <v>22</v>
      </c>
    </row>
    <row r="42" ht="12.75" customHeight="1">
      <c r="B42" s="2"/>
      <c r="C42" s="3"/>
      <c r="E42" s="3"/>
      <c r="F42" s="3"/>
      <c r="H42" s="2" t="s">
        <v>19</v>
      </c>
      <c r="I42" s="3">
        <f t="shared" ref="I42:I79" si="4">AVERAGE(J2,O2,T2)</f>
        <v>163.5005397</v>
      </c>
      <c r="K42" s="3">
        <v>219.531382622597</v>
      </c>
      <c r="L42" s="3">
        <f t="shared" ref="L42:L79" si="5">STDEV(J2,O2,T2)</f>
        <v>7.24857462</v>
      </c>
      <c r="M42" s="7">
        <f t="shared" ref="M42:M79" si="6">L42/SQRT(3)</f>
        <v>4.184966508</v>
      </c>
      <c r="P42" s="8">
        <v>-61.6513175964356</v>
      </c>
      <c r="Q42" s="8">
        <v>144.17073059082</v>
      </c>
    </row>
    <row r="43" ht="12.75" customHeight="1">
      <c r="B43" s="2"/>
      <c r="C43" s="3"/>
      <c r="E43" s="3"/>
      <c r="F43" s="3"/>
      <c r="H43" s="2" t="s">
        <v>7</v>
      </c>
      <c r="I43" s="3">
        <f t="shared" si="4"/>
        <v>83.16308548</v>
      </c>
      <c r="K43" s="3">
        <v>83.163085477768</v>
      </c>
      <c r="L43" s="3">
        <f t="shared" si="5"/>
        <v>83.16794796</v>
      </c>
      <c r="M43" s="7">
        <f t="shared" si="6"/>
        <v>48.01703714</v>
      </c>
      <c r="P43" s="8">
        <v>-72.7498474121094</v>
      </c>
      <c r="Q43" s="8">
        <v>133.747543334961</v>
      </c>
    </row>
    <row r="44" ht="12.75" customHeight="1">
      <c r="B44" s="2"/>
      <c r="C44" s="3"/>
      <c r="E44" s="3"/>
      <c r="F44" s="3"/>
      <c r="H44" s="2" t="s">
        <v>8</v>
      </c>
      <c r="I44" s="3">
        <f t="shared" si="4"/>
        <v>64.68721538</v>
      </c>
      <c r="K44" s="3">
        <v>64.6872153843241</v>
      </c>
      <c r="L44" s="3">
        <f t="shared" si="5"/>
        <v>80.1226205</v>
      </c>
      <c r="M44" s="7">
        <f t="shared" si="6"/>
        <v>46.25881651</v>
      </c>
      <c r="P44" s="8">
        <v>-66.5565872192383</v>
      </c>
      <c r="Q44" s="8">
        <v>145.710235595703</v>
      </c>
    </row>
    <row r="45" ht="12.75" customHeight="1">
      <c r="B45" s="2"/>
      <c r="C45" s="3"/>
      <c r="E45" s="3"/>
      <c r="F45" s="3"/>
      <c r="H45" s="2" t="s">
        <v>20</v>
      </c>
      <c r="I45" s="3">
        <f t="shared" si="4"/>
        <v>70.36361474</v>
      </c>
      <c r="K45" s="3">
        <v>70.3636147354626</v>
      </c>
      <c r="L45" s="3">
        <f t="shared" si="5"/>
        <v>60.09171488</v>
      </c>
      <c r="M45" s="7">
        <f t="shared" si="6"/>
        <v>34.69396776</v>
      </c>
      <c r="P45" s="8">
        <v>-61.9326667785645</v>
      </c>
      <c r="Q45" s="8">
        <v>144.003341674805</v>
      </c>
    </row>
    <row r="46" ht="12.75" customHeight="1">
      <c r="B46" s="2"/>
      <c r="C46" s="3"/>
      <c r="E46" s="3"/>
      <c r="F46" s="3"/>
      <c r="H46" s="2" t="s">
        <v>7</v>
      </c>
      <c r="I46" s="3">
        <f t="shared" si="4"/>
        <v>151.9901753</v>
      </c>
      <c r="K46" s="3">
        <v>151.990175301013</v>
      </c>
      <c r="L46" s="3">
        <f t="shared" si="5"/>
        <v>117.7241626</v>
      </c>
      <c r="M46" s="7">
        <f t="shared" si="6"/>
        <v>67.96807696</v>
      </c>
      <c r="P46" s="8">
        <v>-61.4974327087402</v>
      </c>
      <c r="Q46" s="8">
        <v>148.543090820313</v>
      </c>
    </row>
    <row r="47" ht="12.75" customHeight="1">
      <c r="B47" s="2"/>
      <c r="C47" s="3"/>
      <c r="E47" s="3"/>
      <c r="F47" s="3"/>
      <c r="H47" s="2" t="s">
        <v>8</v>
      </c>
      <c r="I47" s="3">
        <f t="shared" si="4"/>
        <v>32.04448029</v>
      </c>
      <c r="K47" s="3">
        <v>32.0444802912371</v>
      </c>
      <c r="L47" s="3">
        <f t="shared" si="5"/>
        <v>10.5338654</v>
      </c>
      <c r="M47" s="7">
        <f t="shared" si="6"/>
        <v>6.081730026</v>
      </c>
      <c r="P47" s="8">
        <v>-68.6504669189453</v>
      </c>
      <c r="Q47" s="8">
        <v>145.856460571289</v>
      </c>
    </row>
    <row r="48" ht="12.75" customHeight="1">
      <c r="B48" s="2"/>
      <c r="C48" s="3"/>
      <c r="E48" s="3"/>
      <c r="F48" s="3"/>
      <c r="H48" s="2" t="s">
        <v>20</v>
      </c>
      <c r="I48" s="3">
        <f t="shared" si="4"/>
        <v>34.18427923</v>
      </c>
      <c r="K48" s="3">
        <v>34.1842792288686</v>
      </c>
      <c r="L48" s="3">
        <f t="shared" si="5"/>
        <v>37.62130667</v>
      </c>
      <c r="M48" s="7">
        <f t="shared" si="6"/>
        <v>21.72067153</v>
      </c>
      <c r="P48" s="8">
        <v>-62.3393440246582</v>
      </c>
      <c r="Q48" s="8">
        <v>135.250244140625</v>
      </c>
    </row>
    <row r="49" ht="12.75" customHeight="1">
      <c r="B49" s="2"/>
      <c r="C49" s="3"/>
      <c r="E49" s="3"/>
      <c r="F49" s="3"/>
      <c r="H49" s="2" t="s">
        <v>7</v>
      </c>
      <c r="I49" s="3">
        <f t="shared" si="4"/>
        <v>90.71679657</v>
      </c>
      <c r="K49" s="3">
        <v>90.7167965694035</v>
      </c>
      <c r="L49" s="3">
        <f t="shared" si="5"/>
        <v>97.05370216</v>
      </c>
      <c r="M49" s="7">
        <f t="shared" si="6"/>
        <v>56.03398107</v>
      </c>
      <c r="P49" s="8">
        <v>-64.672492980957</v>
      </c>
      <c r="Q49" s="8">
        <v>145.476181030273</v>
      </c>
    </row>
    <row r="50" ht="12.75" customHeight="1">
      <c r="B50" s="2"/>
      <c r="C50" s="3"/>
      <c r="E50" s="3"/>
      <c r="F50" s="3"/>
      <c r="H50" s="2" t="s">
        <v>8</v>
      </c>
      <c r="I50" s="3">
        <f t="shared" si="4"/>
        <v>19.43223498</v>
      </c>
      <c r="K50" s="3">
        <v>19.4322349837216</v>
      </c>
      <c r="L50" s="3">
        <f t="shared" si="5"/>
        <v>12.02994786</v>
      </c>
      <c r="M50" s="7">
        <f t="shared" si="6"/>
        <v>6.945493635</v>
      </c>
      <c r="P50" s="8">
        <v>-61.4334869384766</v>
      </c>
      <c r="Q50" s="8">
        <v>147.868698120117</v>
      </c>
    </row>
    <row r="51" ht="12.75" customHeight="1">
      <c r="B51" s="2"/>
      <c r="C51" s="3"/>
      <c r="E51" s="3"/>
      <c r="F51" s="3"/>
      <c r="H51" s="2" t="s">
        <v>20</v>
      </c>
      <c r="I51" s="3">
        <f t="shared" si="4"/>
        <v>16.8588205</v>
      </c>
      <c r="K51" s="3">
        <v>16.858820498652</v>
      </c>
      <c r="L51" s="3">
        <f t="shared" si="5"/>
        <v>11.44622945</v>
      </c>
      <c r="M51" s="7">
        <f t="shared" si="6"/>
        <v>6.608483657</v>
      </c>
      <c r="P51" s="8">
        <v>-62.7471580505371</v>
      </c>
      <c r="Q51" s="8">
        <v>135.148086547852</v>
      </c>
    </row>
    <row r="52" ht="12.75" customHeight="1">
      <c r="B52" s="2"/>
      <c r="C52" s="3"/>
      <c r="E52" s="3"/>
      <c r="F52" s="3"/>
      <c r="H52" s="2" t="s">
        <v>7</v>
      </c>
      <c r="I52" s="3">
        <f t="shared" si="4"/>
        <v>29.70404084</v>
      </c>
      <c r="K52" s="3">
        <v>29.7040408425999</v>
      </c>
      <c r="L52" s="3">
        <f t="shared" si="5"/>
        <v>4.554370627</v>
      </c>
      <c r="M52" s="7">
        <f t="shared" si="6"/>
        <v>2.629467107</v>
      </c>
      <c r="P52" s="8">
        <v>-60.5620384216309</v>
      </c>
      <c r="Q52" s="8">
        <v>134.403060913086</v>
      </c>
    </row>
    <row r="53" ht="12.75" customHeight="1">
      <c r="B53" s="2"/>
      <c r="C53" s="3"/>
      <c r="E53" s="3"/>
      <c r="F53" s="3"/>
      <c r="H53" s="2" t="s">
        <v>8</v>
      </c>
      <c r="I53" s="3">
        <f t="shared" si="4"/>
        <v>21.29563419</v>
      </c>
      <c r="K53" s="3">
        <v>21.2956341935438</v>
      </c>
      <c r="L53" s="3">
        <f t="shared" si="5"/>
        <v>8.719337251</v>
      </c>
      <c r="M53" s="7">
        <f t="shared" si="6"/>
        <v>5.034111709</v>
      </c>
      <c r="P53" s="8">
        <v>-70.0696487426758</v>
      </c>
      <c r="Q53" s="8">
        <v>143.687896728516</v>
      </c>
    </row>
    <row r="54" ht="12.75" customHeight="1">
      <c r="B54" s="2"/>
      <c r="C54" s="3"/>
      <c r="E54" s="3"/>
      <c r="F54" s="3"/>
      <c r="H54" s="2" t="s">
        <v>20</v>
      </c>
      <c r="I54" s="3">
        <f t="shared" si="4"/>
        <v>10.0831749</v>
      </c>
      <c r="K54" s="3">
        <v>10.0831748973856</v>
      </c>
      <c r="L54" s="3">
        <f t="shared" si="5"/>
        <v>2.584820253</v>
      </c>
      <c r="M54" s="7">
        <f t="shared" si="6"/>
        <v>1.492346669</v>
      </c>
    </row>
    <row r="55" ht="12.75" customHeight="1">
      <c r="B55" s="2"/>
      <c r="C55" s="3"/>
      <c r="E55" s="3"/>
      <c r="F55" s="3"/>
      <c r="H55" s="2" t="s">
        <v>7</v>
      </c>
      <c r="I55" s="3">
        <f t="shared" si="4"/>
        <v>32.09462884</v>
      </c>
      <c r="K55" s="3">
        <v>32.0946288376665</v>
      </c>
      <c r="L55" s="3">
        <f t="shared" si="5"/>
        <v>7.97723345</v>
      </c>
      <c r="M55" s="7">
        <f t="shared" si="6"/>
        <v>4.60565788</v>
      </c>
    </row>
    <row r="56" ht="12.75" customHeight="1">
      <c r="B56" s="2"/>
      <c r="C56" s="3"/>
      <c r="E56" s="3"/>
      <c r="F56" s="3"/>
      <c r="H56" s="2" t="s">
        <v>8</v>
      </c>
      <c r="I56" s="3">
        <f t="shared" si="4"/>
        <v>18.15560771</v>
      </c>
      <c r="K56" s="3">
        <v>18.1556077062731</v>
      </c>
      <c r="L56" s="3">
        <f t="shared" si="5"/>
        <v>4.832964028</v>
      </c>
      <c r="M56" s="7">
        <f t="shared" si="6"/>
        <v>2.790313083</v>
      </c>
      <c r="O56" s="8" t="s">
        <v>23</v>
      </c>
      <c r="P56" s="9">
        <f t="shared" ref="P56:Q56" si="7">AVERAGE(P42:P53)</f>
        <v>-64.57187398</v>
      </c>
      <c r="Q56" s="9">
        <f t="shared" si="7"/>
        <v>141.9887975</v>
      </c>
    </row>
    <row r="57" ht="12.75" customHeight="1">
      <c r="B57" s="2"/>
      <c r="C57" s="3"/>
      <c r="E57" s="3"/>
      <c r="F57" s="3"/>
      <c r="H57" s="2" t="s">
        <v>21</v>
      </c>
      <c r="I57" s="3">
        <f t="shared" si="4"/>
        <v>23.09588107</v>
      </c>
      <c r="K57" s="3">
        <v>23.0958810724638</v>
      </c>
      <c r="L57" s="3">
        <f t="shared" si="5"/>
        <v>3.62660953</v>
      </c>
      <c r="M57" s="7">
        <f t="shared" si="6"/>
        <v>2.093823989</v>
      </c>
      <c r="O57" s="8" t="s">
        <v>24</v>
      </c>
      <c r="P57" s="9">
        <f t="shared" ref="P57:Q57" si="8">STDEV(P42:P53)</f>
        <v>4.00996706</v>
      </c>
      <c r="Q57" s="9">
        <f t="shared" si="8"/>
        <v>5.623594864</v>
      </c>
    </row>
    <row r="58" ht="12.75" customHeight="1">
      <c r="B58" s="2"/>
      <c r="C58" s="3"/>
      <c r="E58" s="3"/>
      <c r="F58" s="3"/>
      <c r="H58" s="2" t="s">
        <v>7</v>
      </c>
      <c r="I58" s="3">
        <f t="shared" si="4"/>
        <v>30.53386517</v>
      </c>
      <c r="K58" s="3">
        <v>30.5338651744586</v>
      </c>
      <c r="L58" s="3">
        <f t="shared" si="5"/>
        <v>12.53108911</v>
      </c>
      <c r="M58" s="7">
        <f t="shared" si="6"/>
        <v>7.234827673</v>
      </c>
    </row>
    <row r="59" ht="12.75" customHeight="1">
      <c r="B59" s="2"/>
      <c r="C59" s="3"/>
      <c r="E59" s="3"/>
      <c r="F59" s="3"/>
      <c r="H59" s="2" t="s">
        <v>8</v>
      </c>
      <c r="I59" s="3">
        <f t="shared" si="4"/>
        <v>22.54190516</v>
      </c>
      <c r="K59" s="3">
        <v>22.5419051556861</v>
      </c>
      <c r="L59" s="3">
        <f t="shared" si="5"/>
        <v>6.358335791</v>
      </c>
      <c r="M59" s="7">
        <f t="shared" si="6"/>
        <v>3.670986881</v>
      </c>
    </row>
    <row r="60" ht="12.75" customHeight="1">
      <c r="B60" s="2"/>
      <c r="C60" s="3"/>
      <c r="E60" s="3"/>
      <c r="F60" s="3"/>
      <c r="H60" s="2" t="s">
        <v>21</v>
      </c>
      <c r="I60" s="3">
        <f t="shared" si="4"/>
        <v>27.37843352</v>
      </c>
      <c r="K60" s="3">
        <v>27.3784335190673</v>
      </c>
      <c r="L60" s="3">
        <f t="shared" si="5"/>
        <v>2.821625904</v>
      </c>
      <c r="M60" s="7">
        <f t="shared" si="6"/>
        <v>1.629066475</v>
      </c>
    </row>
    <row r="61" ht="12.75" customHeight="1">
      <c r="B61" s="2"/>
      <c r="C61" s="3"/>
      <c r="E61" s="3"/>
      <c r="F61" s="3"/>
      <c r="H61" s="2" t="s">
        <v>7</v>
      </c>
      <c r="I61" s="3">
        <f t="shared" si="4"/>
        <v>38.17090255</v>
      </c>
      <c r="K61" s="3">
        <v>38.1709025500485</v>
      </c>
      <c r="L61" s="3">
        <f t="shared" si="5"/>
        <v>5.291647638</v>
      </c>
      <c r="M61" s="7">
        <f t="shared" si="6"/>
        <v>3.055134188</v>
      </c>
    </row>
    <row r="62" ht="12.75" customHeight="1">
      <c r="B62" s="2"/>
      <c r="C62" s="3"/>
      <c r="E62" s="3"/>
      <c r="F62" s="3"/>
      <c r="H62" s="2" t="s">
        <v>8</v>
      </c>
      <c r="I62" s="3">
        <f t="shared" si="4"/>
        <v>22.30933098</v>
      </c>
      <c r="K62" s="3">
        <v>22.3093309828985</v>
      </c>
      <c r="L62" s="3">
        <f t="shared" si="5"/>
        <v>4.920385183</v>
      </c>
      <c r="M62" s="7">
        <f t="shared" si="6"/>
        <v>2.84078571</v>
      </c>
    </row>
    <row r="63" ht="12.75" customHeight="1">
      <c r="B63" s="2"/>
      <c r="C63" s="3"/>
      <c r="E63" s="3"/>
      <c r="F63" s="3"/>
      <c r="H63" s="2" t="s">
        <v>21</v>
      </c>
      <c r="I63" s="3">
        <f t="shared" si="4"/>
        <v>19.4501658</v>
      </c>
      <c r="K63" s="3">
        <v>19.4501657965128</v>
      </c>
      <c r="L63" s="3">
        <f t="shared" si="5"/>
        <v>0.9429679742</v>
      </c>
      <c r="M63" s="7">
        <f t="shared" si="6"/>
        <v>0.5444228137</v>
      </c>
    </row>
    <row r="64" ht="12.75" customHeight="1">
      <c r="B64" s="2"/>
      <c r="C64" s="3"/>
      <c r="E64" s="3"/>
      <c r="F64" s="3"/>
      <c r="H64" s="2" t="s">
        <v>7</v>
      </c>
      <c r="I64" s="3">
        <f t="shared" si="4"/>
        <v>25.61184332</v>
      </c>
      <c r="K64" s="3">
        <v>25.61184332438</v>
      </c>
      <c r="L64" s="3">
        <f t="shared" si="5"/>
        <v>11.7486174</v>
      </c>
      <c r="M64" s="7">
        <f t="shared" si="6"/>
        <v>6.783067419</v>
      </c>
    </row>
    <row r="65" ht="12.75" customHeight="1">
      <c r="B65" s="2"/>
      <c r="C65" s="3"/>
      <c r="E65" s="3"/>
      <c r="F65" s="3"/>
      <c r="H65" s="2" t="s">
        <v>8</v>
      </c>
      <c r="I65" s="3">
        <f t="shared" si="4"/>
        <v>20.3357726</v>
      </c>
      <c r="K65" s="3">
        <v>20.3357725950891</v>
      </c>
      <c r="L65" s="3">
        <f t="shared" si="5"/>
        <v>11.85095016</v>
      </c>
      <c r="M65" s="7">
        <f t="shared" si="6"/>
        <v>6.842149266</v>
      </c>
    </row>
    <row r="66" ht="12.75" customHeight="1">
      <c r="B66" s="2"/>
      <c r="C66" s="3"/>
      <c r="E66" s="3"/>
      <c r="F66" s="3"/>
      <c r="H66" s="2" t="s">
        <v>21</v>
      </c>
      <c r="I66" s="3">
        <f t="shared" si="4"/>
        <v>15.70750733</v>
      </c>
      <c r="K66" s="3">
        <v>15.7075073305951</v>
      </c>
      <c r="L66" s="3">
        <f t="shared" si="5"/>
        <v>1.717177273</v>
      </c>
      <c r="M66" s="7">
        <f t="shared" si="6"/>
        <v>0.9914127609</v>
      </c>
    </row>
    <row r="67" ht="12.75" customHeight="1">
      <c r="B67" s="2"/>
      <c r="C67" s="3"/>
      <c r="E67" s="3"/>
      <c r="F67" s="3"/>
      <c r="H67" s="2" t="s">
        <v>7</v>
      </c>
      <c r="I67" s="3">
        <f t="shared" si="4"/>
        <v>29.57853326</v>
      </c>
      <c r="K67" s="3">
        <v>29.5785332569537</v>
      </c>
      <c r="L67" s="3">
        <f t="shared" si="5"/>
        <v>6.052503387</v>
      </c>
      <c r="M67" s="7">
        <f t="shared" si="6"/>
        <v>3.49441446</v>
      </c>
    </row>
    <row r="68" ht="12.75" customHeight="1">
      <c r="B68" s="2"/>
      <c r="C68" s="3"/>
      <c r="E68" s="3"/>
      <c r="F68" s="3"/>
      <c r="H68" s="2" t="s">
        <v>15</v>
      </c>
      <c r="I68" s="3">
        <f t="shared" si="4"/>
        <v>9.551399098</v>
      </c>
      <c r="K68" s="3">
        <v>9.55139909784515</v>
      </c>
      <c r="L68" s="3">
        <f t="shared" si="5"/>
        <v>4.831620574</v>
      </c>
      <c r="M68" s="7">
        <f t="shared" si="6"/>
        <v>2.789537439</v>
      </c>
    </row>
    <row r="69" ht="12.75" customHeight="1">
      <c r="B69" s="2"/>
      <c r="C69" s="3"/>
      <c r="E69" s="3"/>
      <c r="F69" s="3"/>
      <c r="H69" s="2" t="s">
        <v>21</v>
      </c>
      <c r="I69" s="3">
        <f t="shared" si="4"/>
        <v>23.70595606</v>
      </c>
      <c r="K69" s="3">
        <v>23.7059560601051</v>
      </c>
      <c r="L69" s="3">
        <f t="shared" si="5"/>
        <v>5.096877025</v>
      </c>
      <c r="M69" s="7">
        <f t="shared" si="6"/>
        <v>2.942683323</v>
      </c>
    </row>
    <row r="70" ht="12.75" customHeight="1">
      <c r="B70" s="2"/>
      <c r="C70" s="3"/>
      <c r="E70" s="3"/>
      <c r="F70" s="3"/>
      <c r="H70" s="2" t="s">
        <v>7</v>
      </c>
      <c r="I70" s="3">
        <f t="shared" si="4"/>
        <v>23.13342891</v>
      </c>
      <c r="K70" s="3">
        <v>23.1334289103825</v>
      </c>
      <c r="L70" s="3">
        <f t="shared" si="5"/>
        <v>3.76587103</v>
      </c>
      <c r="M70" s="7">
        <f t="shared" si="6"/>
        <v>2.174226653</v>
      </c>
    </row>
    <row r="71" ht="12.75" customHeight="1">
      <c r="B71" s="2"/>
      <c r="C71" s="3"/>
      <c r="E71" s="3"/>
      <c r="F71" s="3"/>
      <c r="H71" s="2" t="s">
        <v>15</v>
      </c>
      <c r="I71" s="3">
        <f t="shared" si="4"/>
        <v>7.772341045</v>
      </c>
      <c r="K71" s="3">
        <v>7.77234104544255</v>
      </c>
      <c r="L71" s="3">
        <f t="shared" si="5"/>
        <v>1.933290767</v>
      </c>
      <c r="M71" s="7">
        <f t="shared" si="6"/>
        <v>1.116185945</v>
      </c>
    </row>
    <row r="72" ht="12.75" customHeight="1">
      <c r="B72" s="2"/>
      <c r="C72" s="3"/>
      <c r="E72" s="3"/>
      <c r="F72" s="3"/>
      <c r="H72" s="2" t="s">
        <v>21</v>
      </c>
      <c r="I72" s="3">
        <f t="shared" si="4"/>
        <v>18.3906441</v>
      </c>
      <c r="K72" s="3">
        <v>18.3906441039627</v>
      </c>
      <c r="L72" s="3">
        <f t="shared" si="5"/>
        <v>9.973556635</v>
      </c>
      <c r="M72" s="7">
        <f t="shared" si="6"/>
        <v>5.758235608</v>
      </c>
    </row>
    <row r="73" ht="12.75" customHeight="1">
      <c r="B73" s="2"/>
      <c r="C73" s="3"/>
      <c r="E73" s="3"/>
      <c r="F73" s="3"/>
      <c r="H73" s="2" t="s">
        <v>7</v>
      </c>
      <c r="I73" s="3">
        <f t="shared" si="4"/>
        <v>30.39676415</v>
      </c>
      <c r="K73" s="3">
        <v>30.3967641541709</v>
      </c>
      <c r="L73" s="3">
        <f t="shared" si="5"/>
        <v>6.517286955</v>
      </c>
      <c r="M73" s="7">
        <f t="shared" si="6"/>
        <v>3.762757378</v>
      </c>
    </row>
    <row r="74" ht="12.75" customHeight="1">
      <c r="B74" s="2"/>
      <c r="C74" s="3"/>
      <c r="E74" s="3"/>
      <c r="F74" s="3"/>
      <c r="H74" s="2" t="s">
        <v>15</v>
      </c>
      <c r="I74" s="3">
        <f t="shared" si="4"/>
        <v>4.187796407</v>
      </c>
      <c r="K74" s="3">
        <v>4.18779640688705</v>
      </c>
      <c r="L74" s="3">
        <f t="shared" si="5"/>
        <v>1.359286605</v>
      </c>
      <c r="M74" s="7">
        <f t="shared" si="6"/>
        <v>0.7847844873</v>
      </c>
    </row>
    <row r="75" ht="12.75" customHeight="1">
      <c r="B75" s="2"/>
      <c r="C75" s="3"/>
      <c r="E75" s="3"/>
      <c r="F75" s="3"/>
      <c r="H75" s="2" t="s">
        <v>21</v>
      </c>
      <c r="I75" s="3">
        <f t="shared" si="4"/>
        <v>26.87027991</v>
      </c>
      <c r="K75" s="3">
        <v>26.8702799103811</v>
      </c>
      <c r="L75" s="3">
        <f t="shared" si="5"/>
        <v>10.07762289</v>
      </c>
      <c r="M75" s="7">
        <f t="shared" si="6"/>
        <v>5.818318291</v>
      </c>
    </row>
    <row r="76" ht="12.75" customHeight="1">
      <c r="B76" s="2"/>
      <c r="C76" s="3"/>
      <c r="E76" s="3"/>
      <c r="F76" s="3"/>
      <c r="H76" s="2" t="s">
        <v>7</v>
      </c>
      <c r="I76" s="3">
        <f t="shared" si="4"/>
        <v>30.51952648</v>
      </c>
      <c r="K76" s="3">
        <v>30.5195264807051</v>
      </c>
      <c r="L76" s="3">
        <f t="shared" si="5"/>
        <v>9.239106507</v>
      </c>
      <c r="M76" s="7">
        <f t="shared" si="6"/>
        <v>5.334200629</v>
      </c>
    </row>
    <row r="77" ht="12.75" customHeight="1">
      <c r="B77" s="2"/>
      <c r="C77" s="3"/>
      <c r="E77" s="3"/>
      <c r="F77" s="3"/>
      <c r="H77" s="2" t="s">
        <v>15</v>
      </c>
      <c r="I77" s="3">
        <f t="shared" si="4"/>
        <v>14.10423257</v>
      </c>
      <c r="K77" s="3">
        <v>14.1042325735099</v>
      </c>
      <c r="L77" s="3">
        <f t="shared" si="5"/>
        <v>6.101208672</v>
      </c>
      <c r="M77" s="7">
        <f t="shared" si="6"/>
        <v>3.522534469</v>
      </c>
    </row>
    <row r="78" ht="12.75" customHeight="1">
      <c r="B78" s="2"/>
      <c r="C78" s="3"/>
      <c r="E78" s="3"/>
      <c r="F78" s="3"/>
      <c r="H78" s="2" t="s">
        <v>21</v>
      </c>
      <c r="I78" s="3">
        <f t="shared" si="4"/>
        <v>25.78867932</v>
      </c>
      <c r="K78" s="3">
        <v>25.7886793208891</v>
      </c>
      <c r="L78" s="3">
        <f t="shared" si="5"/>
        <v>5.002252923</v>
      </c>
      <c r="M78" s="7">
        <f t="shared" si="6"/>
        <v>2.888052072</v>
      </c>
    </row>
    <row r="79" ht="12.75" customHeight="1">
      <c r="B79" s="2"/>
      <c r="C79" s="3"/>
      <c r="E79" s="3"/>
      <c r="F79" s="3"/>
      <c r="H79" s="2" t="s">
        <v>7</v>
      </c>
      <c r="I79" s="3">
        <f t="shared" si="4"/>
        <v>158.0586249</v>
      </c>
      <c r="K79" s="3">
        <v>158.058624877972</v>
      </c>
      <c r="L79" s="3">
        <f t="shared" si="5"/>
        <v>26.21880451</v>
      </c>
      <c r="M79" s="7">
        <f t="shared" si="6"/>
        <v>15.13743384</v>
      </c>
    </row>
    <row r="80" ht="12.75" customHeight="1"/>
    <row r="81" ht="12.75" customHeight="1">
      <c r="H81" s="8" t="s">
        <v>25</v>
      </c>
      <c r="I81" s="8" t="s">
        <v>26</v>
      </c>
      <c r="J81" s="8" t="s">
        <v>27</v>
      </c>
      <c r="L81" s="8" t="s">
        <v>28</v>
      </c>
      <c r="M81" s="8" t="s">
        <v>29</v>
      </c>
    </row>
    <row r="82" ht="12.75" customHeight="1">
      <c r="D82" s="7"/>
      <c r="F82" s="7"/>
      <c r="H82" s="8">
        <v>0.0</v>
      </c>
      <c r="I82" s="8">
        <v>0.0</v>
      </c>
      <c r="J82" s="7">
        <f>I82/I103</f>
        <v>0</v>
      </c>
      <c r="L82" s="7">
        <f>SUMPRODUCT(H82:H102, J82:J102) / SUM(J82:J102)</f>
        <v>49.47368421</v>
      </c>
      <c r="M82" s="7">
        <f>SQRT(SUMPRODUCT(J82:J102, (H82:H102 - $L$82)^2) / SUM(J82:J102)
)</f>
        <v>27.33297299</v>
      </c>
    </row>
    <row r="83" ht="12.75" customHeight="1">
      <c r="D83" s="7"/>
      <c r="H83" s="8">
        <v>10.0</v>
      </c>
      <c r="I83" s="8">
        <v>1.0</v>
      </c>
      <c r="J83" s="7">
        <f>I83/I103</f>
        <v>0.02631578947</v>
      </c>
    </row>
    <row r="84" ht="12.75" customHeight="1">
      <c r="D84" s="7"/>
      <c r="H84" s="8">
        <v>20.0</v>
      </c>
      <c r="I84" s="8">
        <v>9.0</v>
      </c>
      <c r="J84" s="7">
        <f>I84/I103</f>
        <v>0.2368421053</v>
      </c>
    </row>
    <row r="85" ht="12.75" customHeight="1">
      <c r="D85" s="7"/>
      <c r="H85" s="8">
        <v>30.0</v>
      </c>
      <c r="I85" s="8">
        <v>4.0</v>
      </c>
      <c r="J85" s="7">
        <f>I85/I103</f>
        <v>0.1052631579</v>
      </c>
    </row>
    <row r="86" ht="12.75" customHeight="1">
      <c r="D86" s="7"/>
      <c r="H86" s="8">
        <v>40.0</v>
      </c>
      <c r="I86" s="8">
        <v>4.0</v>
      </c>
      <c r="J86" s="7">
        <f>I86/I103</f>
        <v>0.1052631579</v>
      </c>
    </row>
    <row r="87" ht="12.75" customHeight="1">
      <c r="D87" s="7"/>
      <c r="H87" s="8">
        <v>50.0</v>
      </c>
      <c r="I87" s="8">
        <v>5.0</v>
      </c>
      <c r="J87" s="7">
        <f>I87/I103</f>
        <v>0.1315789474</v>
      </c>
    </row>
    <row r="88" ht="12.75" customHeight="1">
      <c r="D88" s="7"/>
      <c r="H88" s="8">
        <v>60.0</v>
      </c>
      <c r="I88" s="8">
        <v>6.0</v>
      </c>
      <c r="J88" s="7">
        <f>I88/I103</f>
        <v>0.1578947368</v>
      </c>
    </row>
    <row r="89" ht="12.75" customHeight="1">
      <c r="D89" s="7"/>
      <c r="H89" s="8">
        <v>70.0</v>
      </c>
      <c r="I89" s="8">
        <v>2.0</v>
      </c>
      <c r="J89" s="7">
        <f>I89/I103</f>
        <v>0.05263157895</v>
      </c>
    </row>
    <row r="90" ht="12.75" customHeight="1">
      <c r="D90" s="7"/>
      <c r="H90" s="8">
        <v>80.0</v>
      </c>
      <c r="I90" s="8">
        <v>3.0</v>
      </c>
      <c r="J90" s="7">
        <f>I90/I103</f>
        <v>0.07894736842</v>
      </c>
    </row>
    <row r="91" ht="12.75" customHeight="1">
      <c r="D91" s="7"/>
      <c r="H91" s="8">
        <v>90.0</v>
      </c>
      <c r="I91" s="8">
        <v>1.0</v>
      </c>
      <c r="J91" s="7">
        <f>I91/I103</f>
        <v>0.02631578947</v>
      </c>
    </row>
    <row r="92" ht="12.75" customHeight="1">
      <c r="D92" s="7"/>
      <c r="H92" s="8">
        <v>100.0</v>
      </c>
      <c r="I92" s="8">
        <v>1.0</v>
      </c>
      <c r="J92" s="7">
        <f>I92/I103</f>
        <v>0.02631578947</v>
      </c>
    </row>
    <row r="93" ht="12.75" customHeight="1">
      <c r="D93" s="7"/>
      <c r="H93" s="8">
        <v>110.0</v>
      </c>
      <c r="I93" s="8">
        <v>1.0</v>
      </c>
      <c r="J93" s="7">
        <f>I93/I103</f>
        <v>0.02631578947</v>
      </c>
    </row>
    <row r="94" ht="12.75" customHeight="1">
      <c r="D94" s="7"/>
      <c r="H94" s="8">
        <v>120.0</v>
      </c>
      <c r="I94" s="8">
        <v>1.0</v>
      </c>
      <c r="J94" s="7">
        <f>I94/I103</f>
        <v>0.02631578947</v>
      </c>
    </row>
    <row r="95" ht="12.75" customHeight="1">
      <c r="D95" s="7"/>
      <c r="H95" s="8">
        <v>130.0</v>
      </c>
      <c r="I95" s="8">
        <v>0.0</v>
      </c>
      <c r="J95" s="7">
        <f>I95/I103</f>
        <v>0</v>
      </c>
    </row>
    <row r="96" ht="12.75" customHeight="1">
      <c r="D96" s="7"/>
      <c r="H96" s="8">
        <v>140.0</v>
      </c>
      <c r="I96" s="8">
        <v>0.0</v>
      </c>
      <c r="J96" s="7">
        <f>I96/I103</f>
        <v>0</v>
      </c>
    </row>
    <row r="97" ht="12.75" customHeight="1">
      <c r="D97" s="7"/>
      <c r="H97" s="8">
        <v>150.0</v>
      </c>
      <c r="I97" s="8">
        <v>0.0</v>
      </c>
      <c r="J97" s="7">
        <f>I97/I103</f>
        <v>0</v>
      </c>
    </row>
    <row r="98" ht="12.75" customHeight="1">
      <c r="D98" s="7"/>
      <c r="H98" s="8">
        <v>160.0</v>
      </c>
      <c r="I98" s="8">
        <v>0.0</v>
      </c>
      <c r="J98" s="7">
        <f>I98/I103</f>
        <v>0</v>
      </c>
    </row>
    <row r="99" ht="12.75" customHeight="1">
      <c r="D99" s="7"/>
      <c r="H99" s="8">
        <v>170.0</v>
      </c>
      <c r="I99" s="8">
        <v>0.0</v>
      </c>
      <c r="J99" s="7">
        <f>I99/I103</f>
        <v>0</v>
      </c>
    </row>
    <row r="100" ht="12.75" customHeight="1">
      <c r="D100" s="7"/>
      <c r="H100" s="8">
        <v>180.0</v>
      </c>
      <c r="I100" s="8">
        <v>0.0</v>
      </c>
      <c r="J100" s="7">
        <f>I100/I103</f>
        <v>0</v>
      </c>
    </row>
    <row r="101" ht="12.75" customHeight="1">
      <c r="D101" s="7"/>
      <c r="H101" s="8">
        <v>190.0</v>
      </c>
      <c r="I101" s="8">
        <v>0.0</v>
      </c>
      <c r="J101" s="7">
        <f>I101/I103</f>
        <v>0</v>
      </c>
    </row>
    <row r="102" ht="12.75" customHeight="1">
      <c r="D102" s="7"/>
      <c r="H102" s="8">
        <v>200.0</v>
      </c>
      <c r="I102" s="8">
        <v>0.0</v>
      </c>
      <c r="J102" s="7">
        <f>I102/I103</f>
        <v>0</v>
      </c>
    </row>
    <row r="103" ht="12.75" customHeight="1">
      <c r="I103" s="8">
        <f t="shared" ref="I103:J103" si="9">SUM(I82:I102)</f>
        <v>38</v>
      </c>
      <c r="J103" s="9">
        <f t="shared" si="9"/>
        <v>1</v>
      </c>
    </row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Q125" s="1"/>
      <c r="R125" s="1"/>
    </row>
    <row r="126" ht="12.75" customHeight="1">
      <c r="A126" s="2"/>
      <c r="B126" s="2"/>
      <c r="C126" s="2"/>
      <c r="D126" s="7"/>
      <c r="F126" s="2"/>
      <c r="G126" s="2"/>
      <c r="H126" s="2"/>
      <c r="I126" s="3"/>
      <c r="J126" s="2"/>
      <c r="K126" s="2"/>
      <c r="L126" s="2"/>
      <c r="M126" s="2"/>
      <c r="N126" s="3"/>
      <c r="O126" s="1"/>
      <c r="P126" s="1"/>
      <c r="Q126" s="1"/>
      <c r="R126" s="1"/>
    </row>
    <row r="127" ht="12.75" customHeight="1">
      <c r="A127" s="2"/>
      <c r="B127" s="2"/>
      <c r="C127" s="2"/>
      <c r="D127" s="7"/>
      <c r="F127" s="2"/>
      <c r="G127" s="2"/>
      <c r="H127" s="2"/>
      <c r="I127" s="3"/>
      <c r="J127" s="2"/>
      <c r="K127" s="2"/>
      <c r="L127" s="2"/>
      <c r="M127" s="2"/>
      <c r="N127" s="3"/>
      <c r="O127" s="4"/>
      <c r="P127" s="4"/>
    </row>
    <row r="128" ht="12.75" customHeight="1">
      <c r="A128" s="2"/>
      <c r="B128" s="2"/>
      <c r="C128" s="2"/>
      <c r="D128" s="7"/>
      <c r="F128" s="2"/>
      <c r="G128" s="2"/>
      <c r="H128" s="2"/>
      <c r="I128" s="3"/>
      <c r="J128" s="2"/>
      <c r="K128" s="2"/>
      <c r="L128" s="2"/>
      <c r="M128" s="2"/>
      <c r="N128" s="3"/>
      <c r="O128" s="4"/>
      <c r="P128" s="4"/>
    </row>
    <row r="129" ht="12.75" customHeight="1">
      <c r="A129" s="2"/>
      <c r="B129" s="2"/>
      <c r="C129" s="2"/>
      <c r="D129" s="7"/>
      <c r="F129" s="2"/>
      <c r="G129" s="2"/>
      <c r="H129" s="2"/>
      <c r="I129" s="3"/>
      <c r="J129" s="2"/>
      <c r="K129" s="2"/>
      <c r="L129" s="2"/>
      <c r="M129" s="2"/>
      <c r="N129" s="3"/>
      <c r="O129" s="4"/>
      <c r="P129" s="4"/>
    </row>
    <row r="130" ht="12.75" customHeight="1">
      <c r="A130" s="2"/>
      <c r="B130" s="2"/>
      <c r="C130" s="2"/>
      <c r="D130" s="7"/>
      <c r="F130" s="2"/>
      <c r="G130" s="2"/>
      <c r="H130" s="2"/>
      <c r="I130" s="3"/>
      <c r="J130" s="2"/>
      <c r="K130" s="2"/>
      <c r="L130" s="2"/>
      <c r="M130" s="2"/>
      <c r="N130" s="3"/>
      <c r="O130" s="4"/>
      <c r="P130" s="4"/>
    </row>
    <row r="131" ht="12.75" customHeight="1">
      <c r="A131" s="2"/>
      <c r="B131" s="2"/>
      <c r="C131" s="2"/>
      <c r="D131" s="7"/>
      <c r="F131" s="2"/>
      <c r="G131" s="2"/>
      <c r="H131" s="2"/>
      <c r="I131" s="3"/>
      <c r="J131" s="2"/>
      <c r="K131" s="2"/>
      <c r="L131" s="2"/>
      <c r="M131" s="2"/>
      <c r="N131" s="3"/>
      <c r="O131" s="4"/>
      <c r="P131" s="4"/>
    </row>
    <row r="132" ht="12.75" customHeight="1">
      <c r="A132" s="2"/>
      <c r="B132" s="2"/>
      <c r="C132" s="2"/>
      <c r="D132" s="7"/>
      <c r="F132" s="2"/>
      <c r="G132" s="2"/>
      <c r="H132" s="2"/>
      <c r="I132" s="3"/>
      <c r="J132" s="2"/>
      <c r="K132" s="2"/>
      <c r="L132" s="2"/>
      <c r="M132" s="2"/>
      <c r="N132" s="3"/>
      <c r="O132" s="4"/>
      <c r="P132" s="4"/>
    </row>
    <row r="133" ht="12.75" customHeight="1">
      <c r="A133" s="2"/>
      <c r="B133" s="2"/>
      <c r="C133" s="2"/>
      <c r="D133" s="7"/>
      <c r="F133" s="2"/>
      <c r="G133" s="2"/>
      <c r="H133" s="2"/>
      <c r="I133" s="3"/>
      <c r="J133" s="2"/>
      <c r="K133" s="2"/>
      <c r="L133" s="2"/>
      <c r="M133" s="2"/>
      <c r="N133" s="3"/>
      <c r="O133" s="4"/>
      <c r="P133" s="4"/>
    </row>
    <row r="134" ht="12.75" customHeight="1">
      <c r="A134" s="2"/>
      <c r="B134" s="2"/>
      <c r="C134" s="5"/>
      <c r="D134" s="7"/>
      <c r="F134" s="2"/>
      <c r="G134" s="2"/>
      <c r="H134" s="2"/>
      <c r="I134" s="3"/>
      <c r="J134" s="2"/>
      <c r="K134" s="2"/>
      <c r="L134" s="2"/>
      <c r="M134" s="2"/>
      <c r="N134" s="3"/>
      <c r="O134" s="4"/>
      <c r="P134" s="4"/>
    </row>
    <row r="135" ht="12.75" customHeight="1">
      <c r="A135" s="2"/>
      <c r="B135" s="2"/>
      <c r="C135" s="2"/>
      <c r="D135" s="7"/>
      <c r="F135" s="2"/>
      <c r="G135" s="2"/>
      <c r="H135" s="2"/>
      <c r="I135" s="3"/>
      <c r="J135" s="2"/>
      <c r="K135" s="2"/>
      <c r="L135" s="2"/>
      <c r="M135" s="2"/>
      <c r="N135" s="3"/>
      <c r="O135" s="4"/>
      <c r="P135" s="4"/>
    </row>
    <row r="136" ht="12.75" customHeight="1">
      <c r="A136" s="2"/>
      <c r="B136" s="2"/>
      <c r="C136" s="2"/>
      <c r="D136" s="7"/>
      <c r="F136" s="2"/>
      <c r="G136" s="2"/>
      <c r="H136" s="2"/>
      <c r="I136" s="3"/>
      <c r="J136" s="2"/>
      <c r="K136" s="2"/>
      <c r="L136" s="2"/>
      <c r="M136" s="2"/>
      <c r="N136" s="3"/>
      <c r="O136" s="4"/>
      <c r="P136" s="4"/>
    </row>
    <row r="137" ht="12.75" customHeight="1">
      <c r="A137" s="2"/>
      <c r="B137" s="2"/>
      <c r="C137" s="2"/>
      <c r="D137" s="7"/>
      <c r="F137" s="2"/>
      <c r="G137" s="2"/>
      <c r="H137" s="2"/>
      <c r="I137" s="3"/>
      <c r="J137" s="2"/>
      <c r="K137" s="2"/>
      <c r="L137" s="2"/>
      <c r="M137" s="2"/>
      <c r="N137" s="3"/>
      <c r="O137" s="4"/>
      <c r="P137" s="4"/>
    </row>
    <row r="138" ht="12.75" customHeight="1">
      <c r="A138" s="2"/>
      <c r="B138" s="2"/>
      <c r="C138" s="2"/>
      <c r="D138" s="7"/>
      <c r="F138" s="2"/>
      <c r="G138" s="2"/>
      <c r="H138" s="2"/>
      <c r="I138" s="3"/>
      <c r="J138" s="2"/>
      <c r="K138" s="2"/>
      <c r="L138" s="2"/>
      <c r="M138" s="2"/>
      <c r="N138" s="3"/>
      <c r="O138" s="4"/>
      <c r="P138" s="4"/>
    </row>
    <row r="139" ht="12.75" customHeight="1">
      <c r="A139" s="2"/>
      <c r="B139" s="2"/>
      <c r="C139" s="5"/>
      <c r="D139" s="7"/>
      <c r="F139" s="2"/>
      <c r="G139" s="2"/>
      <c r="H139" s="2"/>
      <c r="I139" s="3"/>
      <c r="J139" s="2"/>
      <c r="K139" s="2"/>
      <c r="L139" s="2"/>
      <c r="M139" s="2"/>
      <c r="N139" s="3"/>
      <c r="O139" s="4"/>
      <c r="P139" s="4"/>
    </row>
    <row r="140" ht="12.75" customHeight="1">
      <c r="A140" s="2"/>
      <c r="B140" s="2"/>
      <c r="C140" s="2"/>
      <c r="D140" s="7"/>
      <c r="F140" s="2"/>
      <c r="G140" s="2"/>
      <c r="H140" s="2"/>
      <c r="I140" s="3"/>
      <c r="J140" s="2"/>
      <c r="K140" s="2"/>
      <c r="L140" s="2"/>
      <c r="M140" s="2"/>
      <c r="N140" s="3"/>
      <c r="O140" s="4"/>
      <c r="P140" s="4"/>
    </row>
    <row r="141" ht="12.75" customHeight="1">
      <c r="A141" s="2"/>
      <c r="B141" s="2"/>
      <c r="C141" s="2"/>
      <c r="D141" s="7"/>
      <c r="F141" s="2"/>
      <c r="G141" s="2"/>
      <c r="H141" s="2"/>
      <c r="I141" s="3"/>
      <c r="J141" s="2"/>
      <c r="K141" s="2"/>
      <c r="L141" s="2"/>
      <c r="M141" s="2"/>
      <c r="N141" s="3"/>
      <c r="O141" s="4"/>
      <c r="P141" s="4"/>
    </row>
    <row r="142" ht="12.75" customHeight="1">
      <c r="A142" s="2"/>
      <c r="B142" s="2"/>
      <c r="C142" s="2"/>
      <c r="D142" s="7"/>
      <c r="F142" s="2"/>
      <c r="G142" s="2"/>
      <c r="H142" s="2"/>
      <c r="I142" s="3"/>
      <c r="J142" s="2"/>
      <c r="K142" s="2"/>
      <c r="L142" s="2"/>
      <c r="M142" s="2"/>
      <c r="N142" s="3"/>
      <c r="O142" s="4"/>
      <c r="P142" s="4"/>
    </row>
    <row r="143" ht="12.75" customHeight="1">
      <c r="A143" s="2"/>
      <c r="B143" s="2"/>
      <c r="C143" s="2"/>
      <c r="D143" s="7"/>
      <c r="F143" s="2"/>
      <c r="G143" s="2"/>
      <c r="H143" s="2"/>
      <c r="I143" s="3"/>
      <c r="J143" s="2"/>
      <c r="K143" s="2"/>
      <c r="L143" s="2"/>
      <c r="M143" s="2"/>
      <c r="N143" s="3"/>
      <c r="O143" s="4"/>
      <c r="P143" s="4"/>
    </row>
    <row r="144" ht="12.75" customHeight="1">
      <c r="A144" s="2"/>
      <c r="B144" s="2"/>
      <c r="C144" s="2"/>
      <c r="D144" s="7"/>
      <c r="F144" s="2"/>
      <c r="G144" s="2"/>
      <c r="H144" s="2"/>
      <c r="I144" s="3"/>
      <c r="J144" s="2"/>
      <c r="K144" s="2"/>
      <c r="L144" s="2"/>
      <c r="M144" s="2"/>
      <c r="N144" s="3"/>
      <c r="O144" s="4"/>
      <c r="P144" s="4"/>
    </row>
    <row r="145" ht="12.75" customHeight="1">
      <c r="A145" s="2"/>
      <c r="B145" s="2"/>
      <c r="C145" s="2"/>
      <c r="D145" s="7"/>
      <c r="F145" s="2"/>
      <c r="G145" s="2"/>
      <c r="H145" s="2"/>
      <c r="I145" s="3"/>
      <c r="J145" s="2"/>
      <c r="K145" s="2"/>
      <c r="L145" s="2"/>
      <c r="M145" s="2"/>
      <c r="N145" s="3"/>
      <c r="O145" s="4"/>
      <c r="P145" s="4"/>
    </row>
    <row r="146" ht="12.75" customHeight="1">
      <c r="A146" s="2"/>
      <c r="B146" s="2"/>
      <c r="C146" s="2"/>
      <c r="D146" s="7"/>
      <c r="F146" s="2"/>
      <c r="G146" s="2"/>
      <c r="H146" s="2"/>
      <c r="I146" s="3"/>
      <c r="J146" s="2"/>
      <c r="K146" s="2"/>
      <c r="L146" s="2"/>
      <c r="M146" s="2"/>
      <c r="N146" s="3"/>
      <c r="O146" s="4"/>
      <c r="P146" s="4"/>
    </row>
    <row r="147" ht="12.75" customHeight="1">
      <c r="A147" s="2"/>
      <c r="B147" s="2"/>
      <c r="C147" s="2"/>
      <c r="D147" s="7"/>
      <c r="F147" s="2"/>
      <c r="G147" s="2"/>
      <c r="H147" s="2"/>
      <c r="I147" s="3"/>
      <c r="J147" s="2"/>
      <c r="K147" s="2"/>
      <c r="L147" s="2"/>
      <c r="M147" s="2"/>
      <c r="N147" s="3"/>
      <c r="O147" s="4"/>
      <c r="P147" s="4"/>
    </row>
    <row r="148" ht="12.75" customHeight="1">
      <c r="A148" s="2"/>
      <c r="B148" s="2"/>
      <c r="C148" s="2"/>
      <c r="D148" s="7"/>
      <c r="F148" s="2"/>
      <c r="G148" s="2"/>
      <c r="H148" s="2"/>
      <c r="I148" s="3"/>
      <c r="J148" s="2"/>
      <c r="K148" s="2"/>
      <c r="L148" s="2"/>
      <c r="M148" s="2"/>
      <c r="N148" s="3"/>
      <c r="O148" s="4"/>
      <c r="P148" s="4"/>
    </row>
    <row r="149" ht="12.75" customHeight="1">
      <c r="A149" s="2"/>
      <c r="B149" s="2"/>
      <c r="C149" s="2"/>
      <c r="D149" s="7"/>
      <c r="F149" s="2"/>
      <c r="G149" s="2"/>
      <c r="H149" s="2"/>
      <c r="I149" s="3"/>
      <c r="J149" s="2"/>
      <c r="K149" s="2"/>
      <c r="L149" s="2"/>
      <c r="M149" s="2"/>
      <c r="N149" s="3"/>
      <c r="O149" s="4"/>
      <c r="P149" s="4"/>
    </row>
    <row r="150" ht="12.75" customHeight="1">
      <c r="A150" s="2"/>
      <c r="B150" s="2"/>
      <c r="C150" s="2"/>
      <c r="D150" s="7"/>
      <c r="F150" s="2"/>
      <c r="G150" s="2"/>
      <c r="H150" s="2"/>
      <c r="I150" s="3"/>
      <c r="J150" s="2"/>
      <c r="K150" s="2"/>
      <c r="L150" s="2"/>
      <c r="M150" s="2"/>
      <c r="N150" s="3"/>
      <c r="O150" s="4"/>
      <c r="P150" s="4"/>
    </row>
    <row r="151" ht="12.75" customHeight="1">
      <c r="A151" s="2"/>
      <c r="B151" s="2"/>
      <c r="C151" s="2"/>
      <c r="D151" s="7"/>
      <c r="F151" s="2"/>
      <c r="G151" s="2"/>
      <c r="H151" s="2"/>
      <c r="I151" s="3"/>
      <c r="J151" s="2"/>
      <c r="K151" s="2"/>
      <c r="L151" s="2"/>
      <c r="M151" s="2"/>
      <c r="N151" s="3"/>
      <c r="O151" s="4"/>
      <c r="P151" s="4"/>
    </row>
    <row r="152" ht="12.75" customHeight="1">
      <c r="A152" s="2"/>
      <c r="B152" s="2"/>
      <c r="C152" s="2"/>
      <c r="D152" s="7"/>
      <c r="F152" s="2"/>
      <c r="G152" s="2"/>
      <c r="H152" s="2"/>
      <c r="I152" s="3"/>
      <c r="J152" s="2"/>
      <c r="K152" s="2"/>
      <c r="L152" s="2"/>
      <c r="M152" s="2"/>
      <c r="N152" s="3"/>
      <c r="O152" s="4"/>
      <c r="P152" s="4"/>
    </row>
    <row r="153" ht="12.75" customHeight="1">
      <c r="A153" s="2"/>
      <c r="B153" s="2"/>
      <c r="C153" s="2"/>
      <c r="D153" s="7"/>
      <c r="F153" s="2"/>
      <c r="G153" s="2"/>
      <c r="H153" s="2"/>
      <c r="I153" s="3"/>
      <c r="J153" s="2"/>
      <c r="K153" s="2"/>
      <c r="L153" s="2"/>
      <c r="M153" s="2"/>
      <c r="N153" s="3"/>
      <c r="O153" s="4"/>
      <c r="P153" s="4"/>
    </row>
    <row r="154" ht="12.75" customHeight="1">
      <c r="A154" s="2"/>
      <c r="B154" s="2"/>
      <c r="C154" s="2"/>
      <c r="D154" s="7"/>
      <c r="F154" s="2"/>
      <c r="G154" s="2"/>
      <c r="H154" s="2"/>
      <c r="I154" s="3"/>
      <c r="J154" s="2"/>
      <c r="K154" s="2"/>
      <c r="L154" s="2"/>
      <c r="M154" s="2"/>
      <c r="N154" s="3"/>
      <c r="O154" s="4"/>
      <c r="P154" s="4"/>
    </row>
    <row r="155" ht="12.75" customHeight="1">
      <c r="A155" s="2"/>
      <c r="B155" s="2"/>
      <c r="C155" s="2"/>
      <c r="D155" s="7"/>
      <c r="F155" s="2"/>
      <c r="G155" s="2"/>
      <c r="H155" s="2"/>
      <c r="I155" s="3"/>
      <c r="J155" s="2"/>
      <c r="K155" s="2"/>
      <c r="L155" s="2"/>
      <c r="M155" s="2"/>
      <c r="N155" s="3"/>
      <c r="O155" s="4"/>
      <c r="P155" s="4"/>
    </row>
    <row r="156" ht="12.75" customHeight="1">
      <c r="A156" s="2"/>
      <c r="B156" s="2"/>
      <c r="C156" s="2"/>
      <c r="D156" s="7"/>
      <c r="F156" s="2"/>
      <c r="G156" s="2"/>
      <c r="H156" s="2"/>
      <c r="I156" s="3"/>
      <c r="J156" s="2"/>
      <c r="K156" s="2"/>
      <c r="L156" s="2"/>
      <c r="M156" s="2"/>
      <c r="N156" s="3"/>
      <c r="O156" s="4"/>
      <c r="P156" s="4"/>
    </row>
    <row r="157" ht="12.75" customHeight="1">
      <c r="A157" s="2"/>
      <c r="B157" s="2"/>
      <c r="C157" s="5"/>
      <c r="D157" s="7"/>
      <c r="F157" s="2"/>
      <c r="G157" s="2"/>
      <c r="H157" s="2"/>
      <c r="I157" s="3"/>
      <c r="J157" s="2"/>
      <c r="K157" s="2"/>
      <c r="L157" s="2"/>
      <c r="M157" s="2"/>
      <c r="N157" s="3"/>
      <c r="O157" s="4"/>
      <c r="P157" s="4"/>
    </row>
    <row r="158" ht="12.75" customHeight="1">
      <c r="A158" s="2"/>
      <c r="B158" s="2"/>
      <c r="C158" s="2"/>
      <c r="D158" s="7"/>
      <c r="F158" s="2"/>
      <c r="G158" s="2"/>
      <c r="H158" s="2"/>
      <c r="I158" s="3"/>
      <c r="J158" s="2"/>
      <c r="K158" s="2"/>
      <c r="L158" s="2"/>
      <c r="M158" s="2"/>
      <c r="N158" s="3"/>
      <c r="O158" s="4"/>
      <c r="P158" s="4"/>
    </row>
    <row r="159" ht="12.75" customHeight="1">
      <c r="A159" s="2"/>
      <c r="B159" s="2"/>
      <c r="C159" s="2"/>
      <c r="D159" s="7"/>
      <c r="F159" s="2"/>
      <c r="G159" s="2"/>
      <c r="H159" s="2"/>
      <c r="I159" s="3"/>
      <c r="J159" s="2"/>
      <c r="K159" s="2"/>
      <c r="L159" s="2"/>
      <c r="M159" s="2"/>
      <c r="N159" s="3"/>
      <c r="O159" s="4"/>
      <c r="P159" s="4"/>
    </row>
    <row r="160" ht="12.75" customHeight="1">
      <c r="A160" s="2"/>
      <c r="B160" s="2"/>
      <c r="C160" s="2"/>
      <c r="D160" s="7"/>
      <c r="F160" s="2"/>
      <c r="G160" s="2"/>
      <c r="H160" s="2"/>
      <c r="I160" s="3"/>
      <c r="J160" s="2"/>
      <c r="K160" s="2"/>
      <c r="L160" s="2"/>
      <c r="M160" s="2"/>
      <c r="N160" s="3"/>
      <c r="O160" s="4"/>
      <c r="P160" s="4"/>
    </row>
    <row r="161" ht="12.75" customHeight="1">
      <c r="A161" s="2"/>
      <c r="B161" s="2"/>
      <c r="C161" s="2"/>
      <c r="D161" s="7"/>
      <c r="F161" s="2"/>
      <c r="G161" s="2"/>
      <c r="H161" s="2"/>
      <c r="I161" s="3"/>
      <c r="J161" s="2"/>
      <c r="K161" s="2"/>
      <c r="L161" s="2"/>
      <c r="M161" s="2"/>
      <c r="N161" s="3"/>
      <c r="O161" s="4"/>
      <c r="P161" s="4"/>
    </row>
    <row r="162" ht="12.75" customHeight="1">
      <c r="A162" s="2"/>
      <c r="B162" s="2"/>
      <c r="C162" s="2"/>
      <c r="D162" s="7"/>
      <c r="F162" s="2"/>
      <c r="G162" s="2"/>
      <c r="H162" s="2"/>
      <c r="I162" s="3"/>
      <c r="J162" s="2"/>
      <c r="K162" s="2"/>
      <c r="L162" s="2"/>
      <c r="M162" s="2"/>
      <c r="N162" s="3"/>
      <c r="O162" s="4"/>
      <c r="P162" s="4"/>
    </row>
    <row r="163" ht="12.75" customHeight="1">
      <c r="A163" s="2"/>
      <c r="B163" s="2"/>
      <c r="C163" s="2"/>
      <c r="D163" s="7"/>
      <c r="F163" s="2"/>
      <c r="G163" s="2"/>
      <c r="H163" s="2"/>
      <c r="I163" s="3"/>
      <c r="J163" s="2"/>
      <c r="K163" s="2"/>
      <c r="L163" s="2"/>
      <c r="M163" s="2"/>
      <c r="N163" s="3"/>
      <c r="O163" s="4"/>
      <c r="P163" s="4"/>
    </row>
    <row r="164" ht="12.75" customHeight="1">
      <c r="O164" s="4"/>
      <c r="P164" s="4"/>
    </row>
    <row r="165" ht="12.75" customHeight="1">
      <c r="B165" s="1"/>
    </row>
    <row r="166" ht="12.75" customHeight="1">
      <c r="B166" s="2"/>
      <c r="C166" s="3"/>
      <c r="E166" s="3"/>
      <c r="F166" s="3"/>
      <c r="G166" s="7"/>
    </row>
    <row r="167" ht="12.75" customHeight="1">
      <c r="B167" s="2"/>
      <c r="C167" s="3"/>
      <c r="E167" s="3"/>
      <c r="F167" s="3"/>
      <c r="G167" s="7"/>
    </row>
    <row r="168" ht="12.75" customHeight="1">
      <c r="B168" s="2"/>
      <c r="C168" s="3"/>
      <c r="E168" s="3"/>
      <c r="F168" s="3"/>
      <c r="G168" s="7"/>
    </row>
    <row r="169" ht="12.75" customHeight="1">
      <c r="B169" s="2"/>
      <c r="C169" s="3"/>
      <c r="E169" s="3"/>
      <c r="F169" s="3"/>
      <c r="G169" s="7"/>
    </row>
    <row r="170" ht="12.75" customHeight="1">
      <c r="B170" s="2"/>
      <c r="C170" s="3"/>
      <c r="E170" s="3"/>
      <c r="F170" s="3"/>
      <c r="G170" s="7"/>
    </row>
    <row r="171" ht="12.75" customHeight="1">
      <c r="B171" s="2"/>
      <c r="C171" s="3"/>
      <c r="E171" s="3"/>
      <c r="F171" s="3"/>
      <c r="G171" s="7"/>
    </row>
    <row r="172" ht="12.75" customHeight="1">
      <c r="B172" s="2"/>
      <c r="C172" s="3"/>
      <c r="E172" s="3"/>
      <c r="F172" s="3"/>
      <c r="G172" s="7"/>
    </row>
    <row r="173" ht="12.75" customHeight="1">
      <c r="B173" s="2"/>
      <c r="C173" s="3"/>
      <c r="E173" s="3"/>
      <c r="F173" s="3"/>
      <c r="G173" s="7"/>
    </row>
    <row r="174" ht="12.75" customHeight="1">
      <c r="B174" s="2"/>
      <c r="C174" s="3"/>
      <c r="E174" s="3"/>
      <c r="F174" s="3"/>
      <c r="G174" s="7"/>
    </row>
    <row r="175" ht="12.75" customHeight="1">
      <c r="B175" s="2"/>
      <c r="C175" s="3"/>
      <c r="E175" s="3"/>
      <c r="F175" s="3"/>
      <c r="G175" s="7"/>
    </row>
    <row r="176" ht="12.75" customHeight="1">
      <c r="B176" s="2"/>
      <c r="C176" s="3"/>
      <c r="E176" s="3"/>
      <c r="F176" s="3"/>
      <c r="G176" s="7"/>
    </row>
    <row r="177" ht="12.75" customHeight="1">
      <c r="B177" s="2"/>
      <c r="C177" s="3"/>
      <c r="E177" s="3"/>
      <c r="F177" s="3"/>
      <c r="G177" s="7"/>
    </row>
    <row r="178" ht="12.75" customHeight="1">
      <c r="B178" s="2"/>
      <c r="C178" s="3"/>
      <c r="E178" s="3"/>
      <c r="F178" s="3"/>
      <c r="G178" s="7"/>
    </row>
    <row r="179" ht="12.75" customHeight="1">
      <c r="B179" s="2"/>
      <c r="C179" s="3"/>
      <c r="E179" s="3"/>
      <c r="F179" s="3"/>
      <c r="G179" s="7"/>
    </row>
    <row r="180" ht="12.75" customHeight="1">
      <c r="B180" s="2"/>
      <c r="C180" s="3"/>
      <c r="E180" s="3"/>
      <c r="F180" s="3"/>
      <c r="G180" s="7"/>
    </row>
    <row r="181" ht="12.75" customHeight="1">
      <c r="B181" s="2"/>
      <c r="C181" s="3"/>
      <c r="E181" s="3"/>
      <c r="F181" s="3"/>
      <c r="G181" s="7"/>
    </row>
    <row r="182" ht="12.75" customHeight="1">
      <c r="B182" s="2"/>
      <c r="C182" s="3"/>
      <c r="E182" s="3"/>
      <c r="F182" s="3"/>
      <c r="G182" s="7"/>
    </row>
    <row r="183" ht="12.75" customHeight="1">
      <c r="B183" s="2"/>
      <c r="C183" s="3"/>
      <c r="E183" s="3"/>
      <c r="F183" s="3"/>
      <c r="G183" s="7"/>
    </row>
    <row r="184" ht="12.75" customHeight="1">
      <c r="B184" s="2"/>
      <c r="C184" s="3"/>
      <c r="E184" s="3"/>
      <c r="F184" s="3"/>
      <c r="G184" s="7"/>
    </row>
    <row r="185" ht="12.75" customHeight="1">
      <c r="B185" s="2"/>
      <c r="C185" s="3"/>
      <c r="E185" s="3"/>
      <c r="F185" s="3"/>
      <c r="G185" s="7"/>
    </row>
    <row r="186" ht="12.75" customHeight="1">
      <c r="B186" s="2"/>
      <c r="C186" s="3"/>
      <c r="E186" s="3"/>
      <c r="F186" s="3"/>
      <c r="G186" s="7"/>
    </row>
    <row r="187" ht="12.75" customHeight="1">
      <c r="B187" s="2"/>
      <c r="C187" s="3"/>
      <c r="E187" s="3"/>
      <c r="F187" s="3"/>
      <c r="G187" s="7"/>
    </row>
    <row r="188" ht="12.75" customHeight="1">
      <c r="B188" s="2"/>
      <c r="C188" s="3"/>
      <c r="E188" s="3"/>
      <c r="F188" s="3"/>
      <c r="G188" s="7"/>
    </row>
    <row r="189" ht="12.75" customHeight="1">
      <c r="B189" s="2"/>
      <c r="C189" s="3"/>
      <c r="E189" s="3"/>
      <c r="F189" s="3"/>
      <c r="G189" s="7"/>
    </row>
    <row r="190" ht="12.75" customHeight="1">
      <c r="B190" s="2"/>
      <c r="C190" s="3"/>
      <c r="E190" s="3"/>
      <c r="F190" s="3"/>
      <c r="G190" s="7"/>
    </row>
    <row r="191" ht="12.75" customHeight="1">
      <c r="B191" s="2"/>
      <c r="C191" s="3"/>
      <c r="E191" s="3"/>
      <c r="F191" s="3"/>
      <c r="G191" s="7"/>
    </row>
    <row r="192" ht="12.75" customHeight="1">
      <c r="B192" s="2"/>
      <c r="C192" s="3"/>
      <c r="E192" s="3"/>
      <c r="F192" s="3"/>
      <c r="G192" s="7"/>
    </row>
    <row r="193" ht="12.75" customHeight="1">
      <c r="B193" s="2"/>
      <c r="C193" s="3"/>
      <c r="E193" s="3"/>
      <c r="F193" s="3"/>
      <c r="G193" s="7"/>
    </row>
    <row r="194" ht="12.75" customHeight="1">
      <c r="B194" s="2"/>
      <c r="C194" s="3"/>
      <c r="E194" s="3"/>
      <c r="F194" s="3"/>
      <c r="G194" s="7"/>
    </row>
    <row r="195" ht="12.75" customHeight="1">
      <c r="B195" s="2"/>
      <c r="C195" s="3"/>
      <c r="E195" s="3"/>
      <c r="F195" s="3"/>
      <c r="G195" s="7"/>
    </row>
    <row r="196" ht="12.75" customHeight="1">
      <c r="B196" s="2"/>
      <c r="C196" s="3"/>
      <c r="E196" s="3"/>
      <c r="F196" s="3"/>
      <c r="G196" s="7"/>
    </row>
    <row r="197" ht="12.75" customHeight="1">
      <c r="B197" s="2"/>
      <c r="C197" s="3"/>
      <c r="E197" s="3"/>
      <c r="F197" s="3"/>
      <c r="G197" s="7"/>
    </row>
    <row r="198" ht="12.75" customHeight="1">
      <c r="B198" s="2"/>
      <c r="C198" s="3"/>
      <c r="E198" s="3"/>
      <c r="F198" s="3"/>
      <c r="G198" s="7"/>
    </row>
    <row r="199" ht="12.75" customHeight="1">
      <c r="B199" s="2"/>
      <c r="C199" s="3"/>
      <c r="E199" s="3"/>
      <c r="F199" s="3"/>
      <c r="G199" s="7"/>
    </row>
    <row r="200" ht="12.75" customHeight="1">
      <c r="B200" s="2"/>
      <c r="C200" s="3"/>
      <c r="E200" s="3"/>
      <c r="F200" s="3"/>
      <c r="G200" s="7"/>
    </row>
    <row r="201" ht="12.75" customHeight="1">
      <c r="B201" s="2"/>
      <c r="C201" s="3"/>
      <c r="E201" s="3"/>
      <c r="F201" s="3"/>
      <c r="G201" s="7"/>
    </row>
    <row r="202" ht="12.75" customHeight="1">
      <c r="B202" s="2"/>
      <c r="C202" s="3"/>
      <c r="E202" s="3"/>
      <c r="F202" s="3"/>
      <c r="G202" s="7"/>
    </row>
    <row r="203" ht="12.75" customHeight="1">
      <c r="B203" s="2"/>
      <c r="C203" s="3"/>
      <c r="E203" s="3"/>
      <c r="F203" s="3"/>
      <c r="G203" s="7"/>
    </row>
    <row r="204" ht="12.75" customHeight="1"/>
    <row r="205" ht="12.75" customHeight="1"/>
    <row r="206" ht="12.75" customHeight="1">
      <c r="D206" s="7"/>
      <c r="F206" s="7"/>
      <c r="G206" s="7"/>
    </row>
    <row r="207" ht="12.75" customHeight="1">
      <c r="D207" s="7"/>
    </row>
    <row r="208" ht="12.75" customHeight="1">
      <c r="D208" s="7"/>
    </row>
    <row r="209" ht="12.75" customHeight="1">
      <c r="D209" s="7"/>
    </row>
    <row r="210" ht="12.75" customHeight="1">
      <c r="D210" s="7"/>
    </row>
    <row r="211" ht="12.75" customHeight="1">
      <c r="D211" s="7"/>
    </row>
    <row r="212" ht="12.75" customHeight="1">
      <c r="D212" s="7"/>
    </row>
    <row r="213" ht="12.75" customHeight="1">
      <c r="D213" s="7"/>
    </row>
    <row r="214" ht="12.75" customHeight="1">
      <c r="D214" s="7"/>
    </row>
    <row r="215" ht="12.75" customHeight="1">
      <c r="D215" s="7"/>
    </row>
    <row r="216" ht="12.75" customHeight="1">
      <c r="D216" s="7"/>
    </row>
    <row r="217" ht="12.75" customHeight="1">
      <c r="D217" s="7"/>
    </row>
    <row r="218" ht="12.75" customHeight="1">
      <c r="D218" s="7"/>
    </row>
    <row r="219" ht="12.75" customHeight="1">
      <c r="D219" s="7"/>
    </row>
    <row r="220" ht="12.75" customHeight="1">
      <c r="D220" s="7"/>
    </row>
    <row r="221" ht="12.75" customHeight="1">
      <c r="D221" s="7"/>
    </row>
    <row r="222" ht="12.75" customHeight="1">
      <c r="D222" s="7"/>
    </row>
    <row r="223" ht="12.75" customHeight="1">
      <c r="D223" s="7"/>
    </row>
    <row r="224" ht="12.75" customHeight="1">
      <c r="D224" s="7"/>
    </row>
    <row r="225" ht="12.75" customHeight="1">
      <c r="D225" s="7"/>
    </row>
    <row r="226" ht="12.75" customHeight="1">
      <c r="D226" s="7"/>
    </row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Q249" s="1"/>
      <c r="R249" s="1"/>
    </row>
    <row r="250" ht="12.75" customHeight="1">
      <c r="A250" s="2"/>
      <c r="B250" s="2"/>
      <c r="C250" s="2"/>
      <c r="D250" s="7"/>
      <c r="F250" s="2"/>
      <c r="G250" s="2"/>
      <c r="H250" s="2"/>
      <c r="I250" s="3"/>
      <c r="K250" s="2"/>
      <c r="L250" s="2"/>
      <c r="M250" s="2"/>
      <c r="N250" s="3"/>
      <c r="O250" s="1"/>
      <c r="P250" s="1"/>
      <c r="Q250" s="1"/>
      <c r="R250" s="1"/>
    </row>
    <row r="251" ht="12.75" customHeight="1">
      <c r="A251" s="2"/>
      <c r="B251" s="2"/>
      <c r="C251" s="2"/>
      <c r="D251" s="7"/>
      <c r="F251" s="2"/>
      <c r="G251" s="2"/>
      <c r="H251" s="2"/>
      <c r="I251" s="3"/>
      <c r="K251" s="2"/>
      <c r="L251" s="2"/>
      <c r="M251" s="2"/>
      <c r="N251" s="3"/>
      <c r="O251" s="4"/>
      <c r="P251" s="4"/>
    </row>
    <row r="252" ht="12.75" customHeight="1">
      <c r="A252" s="2"/>
      <c r="B252" s="2"/>
      <c r="C252" s="2"/>
      <c r="D252" s="7"/>
      <c r="F252" s="2"/>
      <c r="G252" s="2"/>
      <c r="H252" s="2"/>
      <c r="I252" s="3"/>
      <c r="K252" s="2"/>
      <c r="L252" s="2"/>
      <c r="M252" s="2"/>
      <c r="N252" s="3"/>
      <c r="O252" s="4"/>
      <c r="P252" s="4"/>
    </row>
    <row r="253" ht="12.75" customHeight="1">
      <c r="A253" s="2"/>
      <c r="B253" s="2"/>
      <c r="C253" s="2"/>
      <c r="D253" s="7"/>
      <c r="F253" s="2"/>
      <c r="G253" s="2"/>
      <c r="H253" s="2"/>
      <c r="I253" s="3"/>
      <c r="K253" s="2"/>
      <c r="L253" s="2"/>
      <c r="M253" s="2"/>
      <c r="N253" s="3"/>
      <c r="O253" s="4"/>
      <c r="P253" s="4"/>
    </row>
    <row r="254" ht="12.75" customHeight="1">
      <c r="A254" s="2"/>
      <c r="B254" s="2"/>
      <c r="C254" s="2"/>
      <c r="D254" s="7"/>
      <c r="F254" s="2"/>
      <c r="G254" s="2"/>
      <c r="H254" s="2"/>
      <c r="I254" s="3"/>
      <c r="K254" s="2"/>
      <c r="L254" s="2"/>
      <c r="M254" s="2"/>
      <c r="N254" s="3"/>
      <c r="O254" s="4"/>
      <c r="P254" s="4"/>
    </row>
    <row r="255" ht="12.75" customHeight="1">
      <c r="A255" s="2"/>
      <c r="B255" s="2"/>
      <c r="C255" s="2"/>
      <c r="D255" s="7"/>
      <c r="F255" s="2"/>
      <c r="G255" s="2"/>
      <c r="H255" s="2"/>
      <c r="I255" s="3"/>
      <c r="K255" s="2"/>
      <c r="L255" s="2"/>
      <c r="M255" s="2"/>
      <c r="N255" s="3"/>
      <c r="O255" s="4"/>
      <c r="P255" s="4"/>
    </row>
    <row r="256" ht="12.75" customHeight="1">
      <c r="A256" s="2"/>
      <c r="B256" s="2"/>
      <c r="C256" s="2"/>
      <c r="D256" s="7"/>
      <c r="F256" s="2"/>
      <c r="G256" s="2"/>
      <c r="H256" s="2"/>
      <c r="I256" s="3"/>
      <c r="K256" s="2"/>
      <c r="L256" s="2"/>
      <c r="M256" s="2"/>
      <c r="N256" s="3"/>
      <c r="O256" s="4"/>
      <c r="P256" s="4"/>
    </row>
    <row r="257" ht="12.75" customHeight="1">
      <c r="A257" s="2"/>
      <c r="B257" s="2"/>
      <c r="C257" s="2"/>
      <c r="D257" s="7"/>
      <c r="F257" s="2"/>
      <c r="G257" s="2"/>
      <c r="H257" s="2"/>
      <c r="I257" s="3"/>
      <c r="K257" s="2"/>
      <c r="L257" s="2"/>
      <c r="M257" s="2"/>
      <c r="N257" s="3"/>
      <c r="O257" s="4"/>
      <c r="P257" s="4"/>
    </row>
    <row r="258" ht="12.75" customHeight="1">
      <c r="A258" s="2"/>
      <c r="B258" s="2"/>
      <c r="C258" s="5"/>
      <c r="D258" s="7"/>
      <c r="F258" s="2"/>
      <c r="G258" s="2"/>
      <c r="H258" s="2"/>
      <c r="I258" s="3"/>
      <c r="K258" s="2"/>
      <c r="L258" s="2"/>
      <c r="M258" s="2"/>
      <c r="N258" s="3"/>
      <c r="O258" s="4"/>
      <c r="P258" s="4"/>
    </row>
    <row r="259" ht="12.75" customHeight="1">
      <c r="A259" s="2"/>
      <c r="B259" s="2"/>
      <c r="C259" s="2"/>
      <c r="D259" s="7"/>
      <c r="F259" s="2"/>
      <c r="G259" s="2"/>
      <c r="H259" s="2"/>
      <c r="I259" s="3"/>
      <c r="K259" s="2"/>
      <c r="L259" s="2"/>
      <c r="M259" s="2"/>
      <c r="N259" s="3"/>
      <c r="O259" s="4"/>
      <c r="P259" s="4"/>
    </row>
    <row r="260" ht="12.75" customHeight="1">
      <c r="A260" s="2"/>
      <c r="B260" s="2"/>
      <c r="C260" s="2"/>
      <c r="D260" s="7"/>
      <c r="F260" s="2"/>
      <c r="G260" s="2"/>
      <c r="H260" s="2"/>
      <c r="I260" s="3"/>
      <c r="K260" s="2"/>
      <c r="L260" s="2"/>
      <c r="M260" s="2"/>
      <c r="N260" s="3"/>
      <c r="O260" s="4"/>
      <c r="P260" s="4"/>
    </row>
    <row r="261" ht="12.75" customHeight="1">
      <c r="A261" s="2"/>
      <c r="B261" s="2"/>
      <c r="C261" s="2"/>
      <c r="D261" s="7"/>
      <c r="F261" s="2"/>
      <c r="G261" s="2"/>
      <c r="H261" s="2"/>
      <c r="I261" s="3"/>
      <c r="K261" s="2"/>
      <c r="L261" s="2"/>
      <c r="M261" s="2"/>
      <c r="N261" s="3"/>
      <c r="O261" s="4"/>
      <c r="P261" s="4"/>
    </row>
    <row r="262" ht="12.75" customHeight="1">
      <c r="A262" s="2"/>
      <c r="B262" s="2"/>
      <c r="C262" s="2"/>
      <c r="D262" s="7"/>
      <c r="F262" s="2"/>
      <c r="G262" s="2"/>
      <c r="H262" s="2"/>
      <c r="I262" s="3"/>
      <c r="K262" s="2"/>
      <c r="L262" s="2"/>
      <c r="M262" s="2"/>
      <c r="N262" s="3"/>
      <c r="O262" s="4"/>
      <c r="P262" s="4"/>
    </row>
    <row r="263" ht="12.75" customHeight="1">
      <c r="A263" s="2"/>
      <c r="B263" s="2"/>
      <c r="C263" s="5"/>
      <c r="D263" s="7"/>
      <c r="F263" s="2"/>
      <c r="G263" s="2"/>
      <c r="H263" s="5"/>
      <c r="I263" s="3"/>
      <c r="K263" s="2"/>
      <c r="L263" s="2"/>
      <c r="M263" s="2"/>
      <c r="N263" s="3"/>
      <c r="O263" s="4"/>
      <c r="P263" s="4"/>
    </row>
    <row r="264" ht="12.75" customHeight="1">
      <c r="A264" s="2"/>
      <c r="B264" s="2"/>
      <c r="C264" s="2"/>
      <c r="D264" s="7"/>
      <c r="F264" s="2"/>
      <c r="G264" s="2"/>
      <c r="H264" s="2"/>
      <c r="I264" s="3"/>
      <c r="K264" s="2"/>
      <c r="L264" s="2"/>
      <c r="M264" s="2"/>
      <c r="N264" s="3"/>
      <c r="O264" s="4"/>
      <c r="P264" s="4"/>
    </row>
    <row r="265" ht="12.75" customHeight="1">
      <c r="A265" s="2"/>
      <c r="B265" s="2"/>
      <c r="C265" s="2"/>
      <c r="D265" s="7"/>
      <c r="F265" s="2"/>
      <c r="G265" s="2"/>
      <c r="H265" s="2"/>
      <c r="I265" s="3"/>
      <c r="K265" s="2"/>
      <c r="L265" s="2"/>
      <c r="M265" s="2"/>
      <c r="N265" s="3"/>
      <c r="O265" s="4"/>
      <c r="P265" s="4"/>
    </row>
    <row r="266" ht="12.75" customHeight="1">
      <c r="A266" s="2"/>
      <c r="B266" s="2"/>
      <c r="C266" s="2"/>
      <c r="D266" s="7"/>
      <c r="F266" s="2"/>
      <c r="G266" s="2"/>
      <c r="H266" s="2"/>
      <c r="I266" s="3"/>
      <c r="K266" s="2"/>
      <c r="L266" s="2"/>
      <c r="M266" s="2"/>
      <c r="N266" s="3"/>
      <c r="O266" s="4"/>
      <c r="P266" s="4"/>
    </row>
    <row r="267" ht="12.75" customHeight="1">
      <c r="A267" s="2"/>
      <c r="B267" s="2"/>
      <c r="C267" s="2"/>
      <c r="D267" s="7"/>
      <c r="F267" s="2"/>
      <c r="G267" s="2"/>
      <c r="H267" s="2"/>
      <c r="I267" s="3"/>
      <c r="K267" s="2"/>
      <c r="L267" s="2"/>
      <c r="M267" s="2"/>
      <c r="N267" s="3"/>
      <c r="O267" s="4"/>
      <c r="P267" s="4"/>
    </row>
    <row r="268" ht="12.75" customHeight="1">
      <c r="A268" s="2"/>
      <c r="B268" s="2"/>
      <c r="C268" s="2"/>
      <c r="D268" s="7"/>
      <c r="F268" s="2"/>
      <c r="G268" s="2"/>
      <c r="H268" s="2"/>
      <c r="I268" s="3"/>
      <c r="K268" s="2"/>
      <c r="L268" s="2"/>
      <c r="M268" s="2"/>
      <c r="N268" s="3"/>
      <c r="O268" s="4"/>
      <c r="P268" s="4"/>
    </row>
    <row r="269" ht="12.75" customHeight="1">
      <c r="A269" s="2"/>
      <c r="B269" s="2"/>
      <c r="C269" s="2"/>
      <c r="D269" s="7"/>
      <c r="F269" s="2"/>
      <c r="G269" s="2"/>
      <c r="H269" s="2"/>
      <c r="I269" s="3"/>
      <c r="K269" s="2"/>
      <c r="L269" s="2"/>
      <c r="M269" s="2"/>
      <c r="N269" s="3"/>
      <c r="O269" s="4"/>
      <c r="P269" s="4"/>
    </row>
    <row r="270" ht="12.75" customHeight="1">
      <c r="A270" s="2"/>
      <c r="B270" s="2"/>
      <c r="C270" s="2"/>
      <c r="D270" s="7"/>
      <c r="F270" s="2"/>
      <c r="G270" s="2"/>
      <c r="H270" s="2"/>
      <c r="I270" s="3"/>
      <c r="K270" s="2"/>
      <c r="L270" s="2"/>
      <c r="M270" s="2"/>
      <c r="N270" s="3"/>
      <c r="O270" s="4"/>
      <c r="P270" s="4"/>
    </row>
    <row r="271" ht="12.75" customHeight="1">
      <c r="A271" s="2"/>
      <c r="B271" s="2"/>
      <c r="C271" s="2"/>
      <c r="D271" s="7"/>
      <c r="F271" s="2"/>
      <c r="G271" s="2"/>
      <c r="H271" s="2"/>
      <c r="I271" s="3"/>
      <c r="K271" s="2"/>
      <c r="L271" s="2"/>
      <c r="M271" s="2"/>
      <c r="N271" s="3"/>
      <c r="O271" s="4"/>
      <c r="P271" s="4"/>
    </row>
    <row r="272" ht="12.75" customHeight="1">
      <c r="A272" s="2"/>
      <c r="B272" s="2"/>
      <c r="C272" s="2"/>
      <c r="D272" s="7"/>
      <c r="F272" s="2"/>
      <c r="G272" s="2"/>
      <c r="H272" s="2"/>
      <c r="I272" s="3"/>
      <c r="K272" s="2"/>
      <c r="L272" s="2"/>
      <c r="M272" s="2"/>
      <c r="N272" s="3"/>
      <c r="O272" s="4"/>
      <c r="P272" s="4"/>
    </row>
    <row r="273" ht="12.75" customHeight="1">
      <c r="A273" s="2"/>
      <c r="B273" s="2"/>
      <c r="C273" s="2"/>
      <c r="D273" s="7"/>
      <c r="F273" s="2"/>
      <c r="G273" s="2"/>
      <c r="H273" s="2"/>
      <c r="I273" s="3"/>
      <c r="K273" s="2"/>
      <c r="L273" s="2"/>
      <c r="M273" s="2"/>
      <c r="N273" s="3"/>
      <c r="O273" s="4"/>
      <c r="P273" s="4"/>
    </row>
    <row r="274" ht="12.75" customHeight="1">
      <c r="A274" s="2"/>
      <c r="B274" s="2"/>
      <c r="C274" s="2"/>
      <c r="D274" s="7"/>
      <c r="F274" s="2"/>
      <c r="G274" s="2"/>
      <c r="H274" s="2"/>
      <c r="I274" s="3"/>
      <c r="K274" s="2"/>
      <c r="L274" s="2"/>
      <c r="M274" s="2"/>
      <c r="N274" s="3"/>
      <c r="O274" s="4"/>
      <c r="P274" s="4"/>
    </row>
    <row r="275" ht="12.75" customHeight="1">
      <c r="A275" s="2"/>
      <c r="B275" s="2"/>
      <c r="C275" s="2"/>
      <c r="D275" s="7"/>
      <c r="F275" s="2"/>
      <c r="G275" s="2"/>
      <c r="H275" s="2"/>
      <c r="I275" s="3"/>
      <c r="K275" s="2"/>
      <c r="L275" s="2"/>
      <c r="M275" s="2"/>
      <c r="N275" s="3"/>
      <c r="O275" s="4"/>
      <c r="P275" s="4"/>
    </row>
    <row r="276" ht="12.75" customHeight="1">
      <c r="A276" s="2"/>
      <c r="B276" s="2"/>
      <c r="C276" s="2"/>
      <c r="D276" s="7"/>
      <c r="F276" s="2"/>
      <c r="G276" s="2"/>
      <c r="H276" s="2"/>
      <c r="I276" s="3"/>
      <c r="K276" s="2"/>
      <c r="L276" s="2"/>
      <c r="M276" s="2"/>
      <c r="N276" s="3"/>
      <c r="O276" s="4"/>
      <c r="P276" s="4"/>
    </row>
    <row r="277" ht="12.75" customHeight="1">
      <c r="A277" s="2"/>
      <c r="B277" s="2"/>
      <c r="C277" s="2"/>
      <c r="D277" s="7"/>
      <c r="F277" s="2"/>
      <c r="G277" s="2"/>
      <c r="H277" s="2"/>
      <c r="I277" s="3"/>
      <c r="K277" s="2"/>
      <c r="L277" s="2"/>
      <c r="M277" s="2"/>
      <c r="N277" s="3"/>
      <c r="O277" s="4"/>
      <c r="P277" s="4"/>
    </row>
    <row r="278" ht="12.75" customHeight="1">
      <c r="A278" s="2"/>
      <c r="B278" s="2"/>
      <c r="C278" s="2"/>
      <c r="D278" s="7"/>
      <c r="F278" s="2"/>
      <c r="G278" s="2"/>
      <c r="H278" s="2"/>
      <c r="I278" s="3"/>
      <c r="K278" s="2"/>
      <c r="L278" s="2"/>
      <c r="M278" s="2"/>
      <c r="N278" s="3"/>
      <c r="O278" s="4"/>
      <c r="P278" s="4"/>
    </row>
    <row r="279" ht="12.75" customHeight="1">
      <c r="A279" s="2"/>
      <c r="B279" s="2"/>
      <c r="C279" s="2"/>
      <c r="D279" s="7"/>
      <c r="F279" s="2"/>
      <c r="G279" s="2"/>
      <c r="H279" s="2"/>
      <c r="I279" s="6"/>
      <c r="K279" s="2"/>
      <c r="L279" s="2"/>
      <c r="M279" s="2"/>
      <c r="N279" s="3"/>
      <c r="O279" s="4"/>
      <c r="P279" s="4"/>
    </row>
    <row r="280" ht="12.75" customHeight="1">
      <c r="A280" s="2"/>
      <c r="B280" s="2"/>
      <c r="C280" s="2"/>
      <c r="D280" s="7"/>
      <c r="F280" s="2"/>
      <c r="G280" s="2"/>
      <c r="H280" s="2"/>
      <c r="I280" s="3"/>
      <c r="K280" s="2"/>
      <c r="L280" s="2"/>
      <c r="M280" s="2"/>
      <c r="N280" s="3"/>
      <c r="O280" s="4"/>
      <c r="P280" s="4"/>
    </row>
    <row r="281" ht="12.75" customHeight="1">
      <c r="A281" s="2"/>
      <c r="B281" s="2"/>
      <c r="C281" s="5"/>
      <c r="D281" s="7"/>
      <c r="F281" s="2"/>
      <c r="G281" s="2"/>
      <c r="H281" s="2"/>
      <c r="I281" s="3"/>
      <c r="K281" s="2"/>
      <c r="L281" s="2"/>
      <c r="M281" s="2"/>
      <c r="N281" s="6"/>
      <c r="O281" s="4"/>
      <c r="P281" s="4"/>
    </row>
    <row r="282" ht="12.75" customHeight="1">
      <c r="A282" s="2"/>
      <c r="B282" s="2"/>
      <c r="C282" s="2"/>
      <c r="D282" s="7"/>
      <c r="F282" s="2"/>
      <c r="G282" s="2"/>
      <c r="H282" s="2"/>
      <c r="I282" s="3"/>
      <c r="K282" s="2"/>
      <c r="L282" s="2"/>
      <c r="M282" s="2"/>
      <c r="N282" s="3"/>
      <c r="O282" s="4"/>
      <c r="P282" s="4"/>
    </row>
    <row r="283" ht="12.75" customHeight="1">
      <c r="A283" s="2"/>
      <c r="B283" s="2"/>
      <c r="C283" s="2"/>
      <c r="D283" s="7"/>
      <c r="F283" s="2"/>
      <c r="G283" s="2"/>
      <c r="H283" s="2"/>
      <c r="I283" s="3"/>
      <c r="K283" s="2"/>
      <c r="L283" s="2"/>
      <c r="M283" s="2"/>
      <c r="N283" s="3"/>
      <c r="O283" s="4"/>
      <c r="P283" s="4"/>
    </row>
    <row r="284" ht="12.75" customHeight="1">
      <c r="A284" s="2"/>
      <c r="B284" s="2"/>
      <c r="C284" s="2"/>
      <c r="D284" s="7"/>
      <c r="F284" s="2"/>
      <c r="G284" s="2"/>
      <c r="H284" s="2"/>
      <c r="I284" s="3"/>
      <c r="K284" s="2"/>
      <c r="L284" s="2"/>
      <c r="M284" s="2"/>
      <c r="N284" s="3"/>
      <c r="O284" s="4"/>
      <c r="P284" s="4"/>
    </row>
    <row r="285" ht="12.75" customHeight="1">
      <c r="A285" s="2"/>
      <c r="B285" s="2"/>
      <c r="C285" s="2"/>
      <c r="D285" s="7"/>
      <c r="F285" s="2"/>
      <c r="G285" s="2"/>
      <c r="H285" s="2"/>
      <c r="I285" s="3"/>
      <c r="K285" s="2"/>
      <c r="L285" s="2"/>
      <c r="M285" s="2"/>
      <c r="N285" s="3"/>
      <c r="O285" s="4"/>
      <c r="P285" s="4"/>
    </row>
    <row r="286" ht="12.75" customHeight="1">
      <c r="A286" s="2"/>
      <c r="B286" s="2"/>
      <c r="C286" s="2"/>
      <c r="D286" s="7"/>
      <c r="F286" s="2"/>
      <c r="G286" s="2"/>
      <c r="H286" s="2"/>
      <c r="I286" s="3"/>
      <c r="K286" s="2"/>
      <c r="L286" s="2"/>
      <c r="M286" s="2"/>
      <c r="N286" s="3"/>
      <c r="O286" s="4"/>
      <c r="P286" s="4"/>
    </row>
    <row r="287" ht="12.75" customHeight="1">
      <c r="A287" s="2"/>
      <c r="B287" s="2"/>
      <c r="C287" s="2"/>
      <c r="D287" s="7"/>
      <c r="F287" s="2"/>
      <c r="G287" s="2"/>
      <c r="H287" s="2"/>
      <c r="I287" s="3"/>
      <c r="K287" s="2"/>
      <c r="L287" s="2"/>
      <c r="M287" s="2"/>
      <c r="N287" s="3"/>
      <c r="O287" s="4"/>
      <c r="P287" s="4"/>
    </row>
    <row r="288" ht="12.75" customHeight="1">
      <c r="O288" s="4"/>
      <c r="P288" s="4"/>
    </row>
    <row r="289" ht="12.75" customHeight="1">
      <c r="B289" s="1"/>
    </row>
    <row r="290" ht="12.75" customHeight="1">
      <c r="B290" s="2"/>
      <c r="C290" s="3"/>
      <c r="E290" s="3"/>
      <c r="F290" s="3"/>
      <c r="G290" s="7"/>
    </row>
    <row r="291" ht="12.75" customHeight="1">
      <c r="B291" s="2"/>
      <c r="C291" s="3"/>
      <c r="E291" s="3"/>
      <c r="F291" s="3"/>
      <c r="G291" s="7"/>
    </row>
    <row r="292" ht="12.75" customHeight="1">
      <c r="B292" s="2"/>
      <c r="C292" s="3"/>
      <c r="E292" s="3"/>
      <c r="F292" s="3"/>
      <c r="G292" s="7"/>
    </row>
    <row r="293" ht="12.75" customHeight="1">
      <c r="B293" s="2"/>
      <c r="C293" s="3"/>
      <c r="E293" s="3"/>
      <c r="F293" s="3"/>
      <c r="G293" s="7"/>
    </row>
    <row r="294" ht="12.75" customHeight="1">
      <c r="B294" s="2"/>
      <c r="C294" s="3"/>
      <c r="E294" s="3"/>
      <c r="F294" s="3"/>
      <c r="G294" s="7"/>
    </row>
    <row r="295" ht="12.75" customHeight="1">
      <c r="B295" s="2"/>
      <c r="C295" s="3"/>
      <c r="E295" s="3"/>
      <c r="F295" s="3"/>
      <c r="G295" s="7"/>
    </row>
    <row r="296" ht="12.75" customHeight="1">
      <c r="B296" s="2"/>
      <c r="C296" s="3"/>
      <c r="E296" s="3"/>
      <c r="F296" s="3"/>
      <c r="G296" s="7"/>
    </row>
    <row r="297" ht="12.75" customHeight="1">
      <c r="B297" s="2"/>
      <c r="C297" s="3"/>
      <c r="E297" s="3"/>
      <c r="F297" s="3"/>
      <c r="G297" s="7"/>
    </row>
    <row r="298" ht="12.75" customHeight="1">
      <c r="B298" s="2"/>
      <c r="C298" s="3"/>
      <c r="E298" s="3"/>
      <c r="F298" s="3"/>
      <c r="G298" s="7"/>
    </row>
    <row r="299" ht="12.75" customHeight="1">
      <c r="B299" s="2"/>
      <c r="C299" s="3"/>
      <c r="E299" s="3"/>
      <c r="F299" s="3"/>
      <c r="G299" s="7"/>
    </row>
    <row r="300" ht="12.75" customHeight="1">
      <c r="B300" s="2"/>
      <c r="C300" s="3"/>
      <c r="E300" s="3"/>
      <c r="F300" s="3"/>
      <c r="G300" s="7"/>
    </row>
    <row r="301" ht="12.75" customHeight="1">
      <c r="B301" s="2"/>
      <c r="C301" s="3"/>
      <c r="E301" s="3"/>
      <c r="F301" s="3"/>
      <c r="G301" s="7"/>
    </row>
    <row r="302" ht="12.75" customHeight="1">
      <c r="B302" s="2"/>
      <c r="C302" s="3"/>
      <c r="E302" s="3"/>
      <c r="F302" s="3"/>
      <c r="G302" s="7"/>
    </row>
    <row r="303" ht="12.75" customHeight="1">
      <c r="B303" s="2"/>
      <c r="C303" s="3"/>
      <c r="E303" s="3"/>
      <c r="F303" s="3"/>
      <c r="G303" s="7"/>
    </row>
    <row r="304" ht="12.75" customHeight="1">
      <c r="B304" s="2"/>
      <c r="C304" s="3"/>
    </row>
    <row r="305" ht="12.75" customHeight="1">
      <c r="B305" s="2"/>
      <c r="C305" s="3"/>
    </row>
    <row r="306" ht="12.75" customHeight="1">
      <c r="B306" s="2"/>
      <c r="C306" s="3"/>
    </row>
    <row r="307" ht="12.75" customHeight="1">
      <c r="B307" s="2"/>
      <c r="C307" s="3"/>
    </row>
    <row r="308" ht="12.75" customHeight="1">
      <c r="B308" s="2"/>
      <c r="C308" s="3"/>
    </row>
    <row r="309" ht="12.75" customHeight="1">
      <c r="B309" s="2"/>
      <c r="C309" s="3"/>
    </row>
    <row r="310" ht="12.75" customHeight="1">
      <c r="B310" s="2"/>
      <c r="C310" s="3"/>
    </row>
    <row r="311" ht="12.75" customHeight="1">
      <c r="B311" s="2"/>
      <c r="C311" s="3"/>
    </row>
    <row r="312" ht="12.75" customHeight="1">
      <c r="B312" s="2"/>
      <c r="C312" s="3"/>
    </row>
    <row r="313" ht="12.75" customHeight="1">
      <c r="B313" s="2"/>
      <c r="C313" s="3"/>
    </row>
    <row r="314" ht="12.75" customHeight="1">
      <c r="B314" s="2"/>
      <c r="C314" s="3"/>
    </row>
    <row r="315" ht="12.75" customHeight="1">
      <c r="B315" s="2"/>
      <c r="C315" s="3"/>
    </row>
    <row r="316" ht="12.75" customHeight="1">
      <c r="B316" s="2"/>
      <c r="C316" s="3"/>
    </row>
    <row r="317" ht="12.75" customHeight="1">
      <c r="B317" s="2"/>
      <c r="C317" s="3"/>
    </row>
    <row r="318" ht="12.75" customHeight="1">
      <c r="B318" s="2"/>
      <c r="C318" s="3"/>
    </row>
    <row r="319" ht="12.75" customHeight="1">
      <c r="B319" s="2"/>
      <c r="C319" s="3"/>
    </row>
    <row r="320" ht="12.75" customHeight="1">
      <c r="B320" s="2"/>
      <c r="C320" s="3"/>
    </row>
    <row r="321" ht="12.75" customHeight="1">
      <c r="B321" s="2"/>
      <c r="C321" s="3"/>
    </row>
    <row r="322" ht="12.75" customHeight="1">
      <c r="B322" s="2"/>
      <c r="C322" s="3"/>
    </row>
    <row r="323" ht="12.75" customHeight="1">
      <c r="B323" s="2"/>
      <c r="C323" s="3"/>
    </row>
    <row r="324" ht="12.75" customHeight="1">
      <c r="B324" s="2"/>
      <c r="C324" s="3"/>
    </row>
    <row r="325" ht="12.75" customHeight="1">
      <c r="B325" s="2"/>
      <c r="C325" s="3"/>
    </row>
    <row r="326" ht="12.75" customHeight="1">
      <c r="B326" s="2"/>
      <c r="C326" s="3"/>
    </row>
    <row r="327" ht="12.75" customHeight="1">
      <c r="B327" s="2"/>
      <c r="C327" s="3"/>
    </row>
    <row r="328" ht="12.75" customHeight="1">
      <c r="B328" s="2"/>
      <c r="C328" s="3"/>
    </row>
    <row r="329" ht="12.75" customHeight="1">
      <c r="B329" s="2"/>
      <c r="C329" s="3"/>
    </row>
    <row r="330" ht="12.75" customHeight="1">
      <c r="B330" s="2"/>
      <c r="C330" s="3"/>
    </row>
    <row r="331" ht="12.75" customHeight="1">
      <c r="B331" s="2"/>
      <c r="C331" s="3"/>
    </row>
    <row r="332" ht="12.75" customHeight="1">
      <c r="B332" s="2"/>
      <c r="C332" s="3"/>
    </row>
    <row r="333" ht="12.75" customHeight="1">
      <c r="B333" s="2"/>
      <c r="C333" s="3"/>
    </row>
    <row r="334" ht="12.75" customHeight="1">
      <c r="B334" s="2"/>
      <c r="C334" s="3"/>
    </row>
    <row r="335" ht="12.75" customHeight="1">
      <c r="B335" s="2"/>
      <c r="C335" s="3"/>
    </row>
    <row r="336" ht="12.75" customHeight="1">
      <c r="B336" s="2"/>
      <c r="C336" s="3"/>
    </row>
    <row r="337" ht="12.75" customHeight="1">
      <c r="B337" s="2"/>
      <c r="C337" s="3"/>
    </row>
    <row r="338" ht="12.75" customHeight="1">
      <c r="B338" s="2"/>
      <c r="C338" s="3"/>
    </row>
    <row r="339" ht="12.75" customHeight="1">
      <c r="B339" s="2"/>
      <c r="C339" s="3"/>
    </row>
    <row r="340" ht="12.75" customHeight="1">
      <c r="B340" s="2"/>
      <c r="C340" s="3"/>
    </row>
    <row r="341" ht="12.75" customHeight="1">
      <c r="B341" s="2"/>
      <c r="C341" s="3"/>
    </row>
    <row r="342" ht="12.75" customHeight="1">
      <c r="B342" s="2"/>
      <c r="C342" s="3"/>
    </row>
    <row r="343" ht="12.75" customHeight="1">
      <c r="B343" s="2"/>
      <c r="C343" s="3"/>
    </row>
    <row r="344" ht="12.75" customHeight="1">
      <c r="B344" s="2"/>
      <c r="C344" s="3"/>
    </row>
    <row r="345" ht="12.75" customHeight="1">
      <c r="B345" s="2"/>
      <c r="C345" s="3"/>
    </row>
    <row r="346" ht="12.75" customHeight="1">
      <c r="B346" s="2"/>
      <c r="C346" s="3"/>
    </row>
    <row r="347" ht="12.75" customHeight="1">
      <c r="B347" s="2"/>
      <c r="C347" s="3"/>
    </row>
    <row r="348" ht="12.75" customHeight="1">
      <c r="B348" s="2"/>
      <c r="C348" s="3"/>
    </row>
    <row r="349" ht="12.75" customHeight="1">
      <c r="B349" s="2"/>
      <c r="C349" s="3"/>
    </row>
    <row r="350" ht="12.75" customHeight="1">
      <c r="B350" s="2"/>
      <c r="C350" s="3"/>
    </row>
    <row r="351" ht="12.75" customHeight="1">
      <c r="B351" s="2"/>
      <c r="C351" s="3"/>
    </row>
    <row r="352" ht="12.75" customHeight="1">
      <c r="B352" s="2"/>
      <c r="C352" s="3"/>
    </row>
    <row r="353" ht="12.75" customHeight="1">
      <c r="B353" s="2"/>
      <c r="C353" s="3"/>
    </row>
    <row r="354" ht="12.75" customHeight="1">
      <c r="B354" s="2"/>
      <c r="C354" s="3"/>
    </row>
    <row r="355" ht="12.75" customHeight="1">
      <c r="B355" s="2"/>
      <c r="C355" s="3"/>
    </row>
    <row r="356" ht="12.75" customHeight="1">
      <c r="B356" s="2"/>
      <c r="C356" s="3"/>
    </row>
    <row r="357" ht="12.75" customHeight="1">
      <c r="B357" s="2"/>
      <c r="C357" s="3"/>
    </row>
    <row r="358" ht="12.75" customHeight="1">
      <c r="B358" s="2"/>
      <c r="C358" s="3"/>
    </row>
    <row r="359" ht="12.75" customHeight="1">
      <c r="B359" s="2"/>
      <c r="C359" s="3"/>
    </row>
    <row r="360" ht="12.75" customHeight="1">
      <c r="B360" s="2"/>
      <c r="C360" s="3"/>
    </row>
    <row r="361" ht="12.75" customHeight="1">
      <c r="B361" s="2"/>
      <c r="C361" s="3"/>
    </row>
    <row r="362" ht="12.75" customHeight="1">
      <c r="B362" s="2"/>
      <c r="C362" s="3"/>
    </row>
    <row r="363" ht="12.75" customHeight="1">
      <c r="B363" s="2"/>
      <c r="C363" s="3"/>
    </row>
    <row r="364" ht="12.75" customHeight="1">
      <c r="B364" s="2"/>
      <c r="C364" s="3"/>
    </row>
    <row r="365" ht="12.75" customHeight="1">
      <c r="B365" s="2"/>
      <c r="C365" s="3"/>
    </row>
    <row r="366" ht="12.75" customHeight="1">
      <c r="B366" s="2"/>
      <c r="C366" s="3"/>
    </row>
    <row r="367" ht="12.75" customHeight="1">
      <c r="B367" s="2"/>
      <c r="C367" s="3"/>
    </row>
    <row r="368" ht="12.75" customHeight="1">
      <c r="B368" s="2"/>
      <c r="C368" s="3"/>
    </row>
    <row r="369" ht="12.75" customHeight="1">
      <c r="B369" s="2"/>
      <c r="C369" s="3"/>
    </row>
    <row r="370" ht="12.75" customHeight="1">
      <c r="B370" s="2"/>
      <c r="C370" s="3"/>
    </row>
    <row r="371" ht="12.75" customHeight="1">
      <c r="B371" s="2"/>
      <c r="C371" s="3"/>
    </row>
    <row r="372" ht="12.75" customHeight="1">
      <c r="B372" s="2"/>
      <c r="C372" s="3"/>
    </row>
    <row r="373" ht="12.75" customHeight="1">
      <c r="B373" s="2"/>
      <c r="C373" s="3"/>
    </row>
    <row r="374" ht="12.75" customHeight="1">
      <c r="B374" s="2"/>
      <c r="C374" s="3"/>
    </row>
    <row r="375" ht="12.75" customHeight="1">
      <c r="B375" s="2"/>
      <c r="C375" s="3"/>
    </row>
    <row r="376" ht="12.75" customHeight="1">
      <c r="B376" s="2"/>
      <c r="C376" s="3"/>
    </row>
    <row r="377" ht="12.75" customHeight="1">
      <c r="B377" s="2"/>
      <c r="C377" s="3"/>
    </row>
    <row r="378" ht="12.75" customHeight="1">
      <c r="B378" s="2"/>
      <c r="C378" s="3"/>
    </row>
    <row r="379" ht="12.75" customHeight="1">
      <c r="B379" s="2"/>
      <c r="C379" s="3"/>
    </row>
    <row r="380" ht="12.75" customHeight="1">
      <c r="B380" s="2"/>
      <c r="C380" s="3"/>
    </row>
    <row r="381" ht="12.75" customHeight="1">
      <c r="B381" s="2"/>
      <c r="C381" s="3"/>
    </row>
    <row r="382" ht="12.75" customHeight="1">
      <c r="B382" s="2"/>
      <c r="C382" s="3"/>
    </row>
    <row r="383" ht="12.75" customHeight="1">
      <c r="B383" s="2"/>
      <c r="C383" s="3"/>
    </row>
    <row r="384" ht="12.75" customHeight="1">
      <c r="B384" s="2"/>
      <c r="C384" s="3"/>
    </row>
    <row r="385" ht="12.75" customHeight="1">
      <c r="B385" s="2"/>
      <c r="C385" s="3"/>
    </row>
    <row r="386" ht="12.75" customHeight="1">
      <c r="B386" s="2"/>
      <c r="C386" s="3"/>
    </row>
    <row r="387" ht="12.75" customHeight="1">
      <c r="B387" s="2"/>
      <c r="C387" s="3"/>
    </row>
    <row r="388" ht="12.75" customHeight="1">
      <c r="B388" s="2"/>
      <c r="C388" s="3"/>
    </row>
    <row r="389" ht="12.75" customHeight="1">
      <c r="B389" s="2"/>
      <c r="C389" s="3"/>
    </row>
    <row r="390" ht="12.75" customHeight="1">
      <c r="B390" s="2"/>
      <c r="C390" s="3"/>
    </row>
    <row r="391" ht="12.75" customHeight="1">
      <c r="B391" s="2"/>
      <c r="C391" s="3"/>
    </row>
    <row r="392" ht="12.75" customHeight="1">
      <c r="B392" s="2"/>
      <c r="C392" s="3"/>
    </row>
    <row r="393" ht="12.75" customHeight="1">
      <c r="B393" s="2"/>
      <c r="C393" s="3"/>
    </row>
    <row r="394" ht="12.75" customHeight="1">
      <c r="B394" s="2"/>
      <c r="C394" s="3"/>
    </row>
    <row r="395" ht="12.75" customHeight="1">
      <c r="B395" s="2"/>
      <c r="C395" s="3"/>
    </row>
    <row r="396" ht="12.75" customHeight="1">
      <c r="B396" s="2"/>
      <c r="C396" s="3"/>
    </row>
    <row r="397" ht="12.75" customHeight="1">
      <c r="B397" s="2"/>
      <c r="C397" s="3"/>
    </row>
    <row r="398" ht="12.75" customHeight="1">
      <c r="B398" s="2"/>
      <c r="C398" s="3"/>
    </row>
    <row r="399" ht="12.75" customHeight="1">
      <c r="B399" s="2"/>
      <c r="C399" s="3"/>
    </row>
    <row r="400" ht="12.75" customHeight="1">
      <c r="B400" s="2"/>
      <c r="C400" s="3"/>
    </row>
    <row r="401" ht="12.75" customHeight="1">
      <c r="B401" s="2"/>
      <c r="C401" s="3"/>
    </row>
    <row r="402" ht="12.75" customHeight="1">
      <c r="B402" s="2"/>
      <c r="C402" s="3"/>
    </row>
    <row r="403" ht="12.75" customHeight="1">
      <c r="B403" s="2"/>
      <c r="C403" s="3"/>
    </row>
    <row r="404" ht="12.75" customHeight="1">
      <c r="B404" s="2"/>
      <c r="C404" s="3"/>
    </row>
    <row r="405" ht="12.75" customHeight="1">
      <c r="B405" s="2"/>
      <c r="C405" s="3"/>
    </row>
    <row r="406" ht="12.75" customHeight="1">
      <c r="B406" s="2"/>
      <c r="C406" s="3"/>
    </row>
    <row r="407" ht="12.75" customHeight="1">
      <c r="B407" s="2"/>
      <c r="C407" s="3"/>
    </row>
    <row r="408" ht="12.75" customHeight="1">
      <c r="B408" s="2"/>
      <c r="C408" s="3"/>
    </row>
    <row r="409" ht="12.75" customHeight="1">
      <c r="B409" s="2"/>
      <c r="C409" s="3"/>
    </row>
    <row r="410" ht="12.75" customHeight="1">
      <c r="B410" s="2"/>
      <c r="C410" s="3"/>
    </row>
    <row r="411" ht="12.75" customHeight="1">
      <c r="B411" s="2"/>
      <c r="C411" s="3"/>
    </row>
    <row r="412" ht="12.75" customHeight="1">
      <c r="B412" s="2"/>
      <c r="C412" s="3"/>
    </row>
    <row r="413" ht="12.75" customHeight="1">
      <c r="B413" s="2"/>
      <c r="C413" s="3"/>
    </row>
    <row r="414" ht="12.75" customHeight="1">
      <c r="B414" s="2"/>
      <c r="C414" s="3"/>
    </row>
    <row r="415" ht="12.75" customHeight="1">
      <c r="B415" s="2"/>
      <c r="C415" s="3"/>
    </row>
    <row r="416" ht="12.75" customHeight="1">
      <c r="B416" s="2"/>
      <c r="C416" s="3"/>
    </row>
    <row r="417" ht="12.75" customHeight="1">
      <c r="B417" s="2"/>
      <c r="C417" s="3"/>
    </row>
    <row r="418" ht="12.75" customHeight="1">
      <c r="B418" s="2"/>
      <c r="C418" s="3"/>
    </row>
    <row r="419" ht="12.75" customHeight="1">
      <c r="B419" s="2"/>
      <c r="C419" s="3"/>
    </row>
    <row r="420" ht="12.75" customHeight="1">
      <c r="B420" s="2"/>
      <c r="C420" s="3"/>
    </row>
    <row r="421" ht="12.75" customHeight="1">
      <c r="B421" s="2"/>
      <c r="C421" s="3"/>
    </row>
    <row r="422" ht="12.75" customHeight="1">
      <c r="B422" s="2"/>
      <c r="C422" s="3"/>
    </row>
    <row r="423" ht="12.75" customHeight="1">
      <c r="B423" s="2"/>
      <c r="C423" s="3"/>
    </row>
    <row r="424" ht="12.75" customHeight="1">
      <c r="B424" s="2"/>
      <c r="C424" s="3"/>
    </row>
    <row r="425" ht="12.75" customHeight="1">
      <c r="B425" s="2"/>
      <c r="C425" s="3"/>
    </row>
    <row r="426" ht="12.75" customHeight="1">
      <c r="B426" s="2"/>
      <c r="C426" s="3"/>
    </row>
    <row r="427" ht="12.75" customHeight="1">
      <c r="B427" s="2"/>
      <c r="C427" s="3"/>
    </row>
    <row r="428" ht="12.75" customHeight="1">
      <c r="B428" s="2"/>
      <c r="C428" s="3"/>
    </row>
    <row r="429" ht="12.75" customHeight="1">
      <c r="B429" s="2"/>
      <c r="C429" s="3"/>
    </row>
    <row r="430" ht="12.75" customHeight="1">
      <c r="B430" s="2"/>
      <c r="C430" s="3"/>
    </row>
    <row r="431" ht="12.75" customHeight="1">
      <c r="B431" s="2"/>
      <c r="C431" s="3"/>
    </row>
    <row r="432" ht="12.75" customHeight="1">
      <c r="B432" s="2"/>
      <c r="C432" s="3"/>
    </row>
    <row r="433" ht="12.75" customHeight="1">
      <c r="B433" s="2"/>
      <c r="C433" s="3"/>
    </row>
    <row r="434" ht="12.75" customHeight="1">
      <c r="B434" s="2"/>
      <c r="C434" s="3"/>
    </row>
    <row r="435" ht="12.75" customHeight="1">
      <c r="B435" s="2"/>
      <c r="C435" s="3"/>
    </row>
    <row r="436" ht="12.75" customHeight="1">
      <c r="B436" s="2"/>
      <c r="C436" s="3"/>
    </row>
    <row r="437" ht="12.75" customHeight="1">
      <c r="B437" s="2"/>
      <c r="C437" s="3"/>
    </row>
    <row r="438" ht="12.75" customHeight="1">
      <c r="B438" s="2"/>
      <c r="C438" s="3"/>
    </row>
    <row r="439" ht="12.75" customHeight="1">
      <c r="B439" s="2"/>
      <c r="C439" s="3"/>
    </row>
    <row r="440" ht="12.75" customHeight="1">
      <c r="B440" s="2"/>
      <c r="C440" s="3"/>
    </row>
    <row r="441" ht="12.75" customHeight="1">
      <c r="B441" s="2"/>
      <c r="C441" s="3"/>
    </row>
    <row r="442" ht="12.75" customHeight="1">
      <c r="B442" s="2"/>
      <c r="C442" s="3"/>
    </row>
    <row r="443" ht="12.75" customHeight="1">
      <c r="B443" s="2"/>
      <c r="C443" s="3"/>
    </row>
    <row r="444" ht="12.75" customHeight="1">
      <c r="B444" s="2"/>
      <c r="C444" s="3"/>
    </row>
    <row r="445" ht="12.75" customHeight="1">
      <c r="B445" s="2"/>
      <c r="C445" s="3"/>
    </row>
    <row r="446" ht="12.75" customHeight="1">
      <c r="B446" s="2"/>
      <c r="C446" s="3"/>
    </row>
    <row r="447" ht="12.75" customHeight="1">
      <c r="B447" s="2"/>
      <c r="C447" s="3"/>
    </row>
    <row r="448" ht="12.75" customHeight="1">
      <c r="B448" s="2"/>
      <c r="C448" s="3"/>
    </row>
    <row r="449" ht="12.75" customHeight="1">
      <c r="B449" s="2"/>
      <c r="C449" s="3"/>
    </row>
    <row r="450" ht="12.75" customHeight="1">
      <c r="B450" s="2"/>
      <c r="C450" s="3"/>
    </row>
    <row r="451" ht="12.75" customHeight="1">
      <c r="B451" s="2"/>
      <c r="C451" s="3"/>
    </row>
    <row r="452" ht="12.75" customHeight="1">
      <c r="B452" s="2"/>
      <c r="C452" s="3"/>
    </row>
    <row r="453" ht="12.75" customHeight="1">
      <c r="B453" s="2"/>
      <c r="C453" s="3"/>
    </row>
    <row r="454" ht="12.75" customHeight="1">
      <c r="B454" s="2"/>
      <c r="C454" s="3"/>
    </row>
    <row r="455" ht="12.75" customHeight="1">
      <c r="B455" s="2"/>
      <c r="C455" s="3"/>
    </row>
    <row r="456" ht="12.75" customHeight="1">
      <c r="B456" s="2"/>
      <c r="C456" s="3"/>
    </row>
    <row r="457" ht="12.75" customHeight="1">
      <c r="B457" s="2"/>
      <c r="C457" s="3"/>
    </row>
    <row r="458" ht="12.75" customHeight="1">
      <c r="B458" s="2"/>
      <c r="C458" s="3"/>
    </row>
    <row r="459" ht="12.75" customHeight="1">
      <c r="B459" s="2"/>
      <c r="C459" s="3"/>
    </row>
    <row r="460" ht="12.75" customHeight="1">
      <c r="B460" s="2"/>
      <c r="C460" s="3"/>
    </row>
    <row r="461" ht="12.75" customHeight="1">
      <c r="B461" s="2"/>
      <c r="C461" s="3"/>
    </row>
    <row r="462" ht="12.75" customHeight="1">
      <c r="B462" s="2"/>
      <c r="C462" s="3"/>
    </row>
    <row r="463" ht="12.75" customHeight="1">
      <c r="B463" s="2"/>
      <c r="C463" s="3"/>
    </row>
    <row r="464" ht="12.75" customHeight="1">
      <c r="B464" s="2"/>
      <c r="C464" s="3"/>
    </row>
    <row r="465" ht="12.75" customHeight="1">
      <c r="B465" s="2"/>
      <c r="C465" s="3"/>
    </row>
    <row r="466" ht="12.75" customHeight="1">
      <c r="B466" s="2"/>
      <c r="C466" s="3"/>
    </row>
    <row r="467" ht="12.75" customHeight="1">
      <c r="B467" s="2"/>
      <c r="C467" s="3"/>
    </row>
    <row r="468" ht="12.75" customHeight="1">
      <c r="B468" s="2"/>
      <c r="C468" s="3"/>
    </row>
    <row r="469" ht="12.75" customHeight="1">
      <c r="B469" s="2"/>
      <c r="C469" s="3"/>
    </row>
    <row r="470" ht="12.75" customHeight="1">
      <c r="B470" s="2"/>
      <c r="C470" s="3"/>
    </row>
    <row r="471" ht="12.75" customHeight="1">
      <c r="B471" s="2"/>
      <c r="C471" s="3"/>
    </row>
    <row r="472" ht="12.75" customHeight="1">
      <c r="B472" s="2"/>
      <c r="C472" s="3"/>
    </row>
    <row r="473" ht="12.75" customHeight="1">
      <c r="B473" s="2"/>
      <c r="C473" s="3"/>
    </row>
    <row r="474" ht="12.75" customHeight="1">
      <c r="B474" s="2"/>
      <c r="C474" s="3"/>
    </row>
    <row r="475" ht="12.75" customHeight="1">
      <c r="B475" s="2"/>
      <c r="C475" s="3"/>
    </row>
    <row r="476" ht="12.75" customHeight="1">
      <c r="B476" s="2"/>
      <c r="C476" s="3"/>
    </row>
    <row r="477" ht="12.75" customHeight="1">
      <c r="B477" s="2"/>
      <c r="C477" s="3"/>
    </row>
    <row r="478" ht="12.75" customHeight="1">
      <c r="B478" s="2"/>
      <c r="C478" s="3"/>
    </row>
    <row r="479" ht="12.75" customHeight="1">
      <c r="B479" s="2"/>
      <c r="C479" s="3"/>
    </row>
    <row r="480" ht="12.75" customHeight="1">
      <c r="B480" s="2"/>
      <c r="C480" s="3"/>
    </row>
    <row r="481" ht="12.75" customHeight="1">
      <c r="B481" s="2"/>
      <c r="C481" s="3"/>
    </row>
    <row r="482" ht="12.75" customHeight="1">
      <c r="B482" s="2"/>
      <c r="C482" s="3"/>
    </row>
    <row r="483" ht="12.75" customHeight="1">
      <c r="B483" s="2"/>
      <c r="C483" s="3"/>
    </row>
    <row r="484" ht="12.75" customHeight="1">
      <c r="B484" s="2"/>
      <c r="C484" s="3"/>
    </row>
    <row r="485" ht="12.75" customHeight="1">
      <c r="B485" s="2"/>
      <c r="C485" s="3"/>
    </row>
    <row r="486" ht="12.75" customHeight="1">
      <c r="B486" s="2"/>
      <c r="C486" s="3"/>
    </row>
    <row r="487" ht="12.75" customHeight="1">
      <c r="B487" s="2"/>
      <c r="C487" s="3"/>
    </row>
    <row r="488" ht="12.75" customHeight="1">
      <c r="B488" s="2"/>
      <c r="C488" s="3"/>
    </row>
    <row r="489" ht="12.75" customHeight="1">
      <c r="B489" s="2"/>
      <c r="C489" s="3"/>
    </row>
    <row r="490" ht="12.75" customHeight="1">
      <c r="B490" s="2"/>
      <c r="C490" s="3"/>
    </row>
    <row r="491" ht="12.75" customHeight="1">
      <c r="B491" s="2"/>
      <c r="C491" s="3"/>
    </row>
    <row r="492" ht="12.75" customHeight="1">
      <c r="B492" s="2"/>
      <c r="C492" s="3"/>
    </row>
    <row r="493" ht="12.75" customHeight="1">
      <c r="B493" s="2"/>
      <c r="C493" s="3"/>
    </row>
    <row r="494" ht="12.75" customHeight="1">
      <c r="B494" s="2"/>
      <c r="C494" s="3"/>
    </row>
    <row r="495" ht="12.75" customHeight="1">
      <c r="B495" s="2"/>
      <c r="C495" s="3"/>
    </row>
    <row r="496" ht="12.75" customHeight="1">
      <c r="B496" s="2"/>
      <c r="C496" s="3"/>
    </row>
    <row r="497" ht="12.75" customHeight="1">
      <c r="B497" s="2"/>
      <c r="C497" s="3"/>
    </row>
    <row r="498" ht="12.75" customHeight="1">
      <c r="B498" s="2"/>
      <c r="C498" s="3"/>
    </row>
    <row r="499" ht="12.75" customHeight="1">
      <c r="B499" s="2"/>
      <c r="C499" s="3"/>
    </row>
    <row r="500" ht="12.75" customHeight="1">
      <c r="B500" s="2"/>
      <c r="C500" s="3"/>
    </row>
    <row r="501" ht="12.75" customHeight="1">
      <c r="B501" s="2"/>
      <c r="C501" s="3"/>
    </row>
    <row r="502" ht="12.75" customHeight="1">
      <c r="B502" s="2"/>
      <c r="C502" s="3"/>
    </row>
    <row r="503" ht="12.75" customHeight="1">
      <c r="B503" s="2"/>
      <c r="C503" s="3"/>
    </row>
    <row r="504" ht="12.75" customHeight="1">
      <c r="B504" s="2"/>
      <c r="C504" s="3"/>
    </row>
    <row r="505" ht="12.75" customHeight="1">
      <c r="B505" s="2"/>
      <c r="C505" s="3"/>
    </row>
    <row r="506" ht="12.75" customHeight="1">
      <c r="B506" s="2"/>
      <c r="C506" s="3"/>
    </row>
    <row r="507" ht="12.75" customHeight="1">
      <c r="B507" s="2"/>
      <c r="C507" s="3"/>
    </row>
    <row r="508" ht="12.75" customHeight="1">
      <c r="B508" s="2"/>
      <c r="C508" s="3"/>
    </row>
    <row r="509" ht="12.75" customHeight="1">
      <c r="B509" s="2"/>
      <c r="C509" s="3"/>
    </row>
    <row r="510" ht="12.75" customHeight="1">
      <c r="B510" s="2"/>
      <c r="C510" s="3"/>
    </row>
    <row r="511" ht="12.75" customHeight="1">
      <c r="B511" s="2"/>
      <c r="C511" s="3"/>
    </row>
    <row r="512" ht="12.75" customHeight="1">
      <c r="B512" s="2"/>
      <c r="C512" s="3"/>
    </row>
    <row r="513" ht="12.75" customHeight="1">
      <c r="B513" s="2"/>
      <c r="C513" s="3"/>
    </row>
    <row r="514" ht="12.75" customHeight="1">
      <c r="B514" s="2"/>
      <c r="C514" s="3"/>
    </row>
    <row r="515" ht="12.75" customHeight="1">
      <c r="B515" s="2"/>
      <c r="C515" s="3"/>
    </row>
    <row r="516" ht="12.75" customHeight="1">
      <c r="B516" s="2"/>
      <c r="C516" s="3"/>
    </row>
    <row r="517" ht="12.75" customHeight="1">
      <c r="B517" s="2"/>
      <c r="C517" s="3"/>
    </row>
    <row r="518" ht="12.75" customHeight="1">
      <c r="B518" s="2"/>
      <c r="C518" s="3"/>
    </row>
    <row r="519" ht="12.75" customHeight="1">
      <c r="B519" s="2"/>
      <c r="C519" s="3"/>
    </row>
    <row r="520" ht="12.75" customHeight="1">
      <c r="B520" s="2"/>
      <c r="C520" s="3"/>
    </row>
    <row r="521" ht="12.75" customHeight="1">
      <c r="B521" s="2"/>
      <c r="C521" s="3"/>
    </row>
    <row r="522" ht="12.75" customHeight="1">
      <c r="B522" s="2"/>
      <c r="C522" s="3"/>
    </row>
    <row r="523" ht="12.75" customHeight="1">
      <c r="B523" s="2"/>
      <c r="C523" s="3"/>
    </row>
    <row r="524" ht="12.75" customHeight="1">
      <c r="B524" s="2"/>
      <c r="C524" s="3"/>
    </row>
    <row r="525" ht="12.75" customHeight="1">
      <c r="B525" s="2"/>
      <c r="C525" s="3"/>
    </row>
    <row r="526" ht="12.75" customHeight="1">
      <c r="B526" s="2"/>
      <c r="C526" s="3"/>
    </row>
    <row r="527" ht="12.75" customHeight="1">
      <c r="B527" s="2"/>
      <c r="C527" s="3"/>
    </row>
    <row r="528" ht="12.75" customHeight="1">
      <c r="B528" s="2"/>
      <c r="C528" s="3"/>
    </row>
    <row r="529" ht="12.75" customHeight="1">
      <c r="B529" s="2"/>
      <c r="C529" s="3"/>
    </row>
    <row r="530" ht="12.75" customHeight="1">
      <c r="B530" s="2"/>
      <c r="C530" s="3"/>
    </row>
    <row r="531" ht="12.75" customHeight="1">
      <c r="B531" s="2"/>
      <c r="C531" s="3"/>
    </row>
    <row r="532" ht="12.75" customHeight="1">
      <c r="B532" s="2"/>
      <c r="C532" s="3"/>
    </row>
    <row r="533" ht="12.75" customHeight="1">
      <c r="B533" s="2"/>
      <c r="C533" s="3"/>
    </row>
    <row r="534" ht="12.75" customHeight="1">
      <c r="B534" s="2"/>
      <c r="C534" s="3"/>
    </row>
    <row r="535" ht="12.75" customHeight="1">
      <c r="B535" s="2"/>
      <c r="C535" s="3"/>
    </row>
    <row r="536" ht="12.75" customHeight="1">
      <c r="B536" s="2"/>
      <c r="C536" s="3"/>
    </row>
    <row r="537" ht="12.75" customHeight="1">
      <c r="B537" s="2"/>
      <c r="C537" s="3"/>
    </row>
    <row r="538" ht="12.75" customHeight="1">
      <c r="B538" s="2"/>
      <c r="C538" s="3"/>
    </row>
    <row r="539" ht="12.75" customHeight="1">
      <c r="B539" s="2"/>
      <c r="C539" s="3"/>
    </row>
    <row r="540" ht="12.75" customHeight="1">
      <c r="B540" s="2"/>
      <c r="C540" s="3"/>
    </row>
    <row r="541" ht="12.75" customHeight="1">
      <c r="B541" s="2"/>
      <c r="C541" s="3"/>
    </row>
    <row r="542" ht="12.75" customHeight="1">
      <c r="B542" s="2"/>
      <c r="C542" s="3"/>
    </row>
    <row r="543" ht="12.75" customHeight="1">
      <c r="B543" s="2"/>
      <c r="C543" s="3"/>
    </row>
    <row r="544" ht="12.75" customHeight="1">
      <c r="B544" s="2"/>
      <c r="C544" s="3"/>
    </row>
    <row r="545" ht="12.75" customHeight="1">
      <c r="B545" s="2"/>
      <c r="C545" s="3"/>
    </row>
    <row r="546" ht="12.75" customHeight="1">
      <c r="B546" s="2"/>
      <c r="C546" s="3"/>
    </row>
    <row r="547" ht="12.75" customHeight="1">
      <c r="B547" s="2"/>
      <c r="C547" s="3"/>
    </row>
    <row r="548" ht="12.75" customHeight="1">
      <c r="B548" s="2"/>
      <c r="C548" s="3"/>
    </row>
    <row r="549" ht="12.75" customHeight="1">
      <c r="B549" s="2"/>
      <c r="C549" s="3"/>
    </row>
    <row r="550" ht="12.75" customHeight="1">
      <c r="B550" s="2"/>
      <c r="C550" s="3"/>
    </row>
    <row r="551" ht="12.75" customHeight="1">
      <c r="B551" s="2"/>
      <c r="C551" s="3"/>
    </row>
    <row r="552" ht="12.75" customHeight="1">
      <c r="B552" s="2"/>
      <c r="C552" s="3"/>
    </row>
    <row r="553" ht="12.75" customHeight="1">
      <c r="B553" s="2"/>
      <c r="C553" s="3"/>
    </row>
    <row r="554" ht="12.75" customHeight="1">
      <c r="B554" s="2"/>
      <c r="C554" s="3"/>
    </row>
    <row r="555" ht="12.75" customHeight="1">
      <c r="B555" s="2"/>
      <c r="C555" s="3"/>
    </row>
    <row r="556" ht="12.75" customHeight="1">
      <c r="B556" s="2"/>
      <c r="C556" s="3"/>
    </row>
    <row r="557" ht="12.75" customHeight="1">
      <c r="B557" s="2"/>
      <c r="C557" s="3"/>
    </row>
    <row r="558" ht="12.75" customHeight="1">
      <c r="B558" s="2"/>
      <c r="C558" s="3"/>
    </row>
    <row r="559" ht="12.75" customHeight="1">
      <c r="B559" s="2"/>
      <c r="C559" s="3"/>
    </row>
    <row r="560" ht="12.75" customHeight="1">
      <c r="B560" s="2"/>
      <c r="C560" s="3"/>
    </row>
    <row r="561" ht="12.75" customHeight="1">
      <c r="B561" s="2"/>
      <c r="C561" s="3"/>
    </row>
    <row r="562" ht="12.75" customHeight="1">
      <c r="B562" s="2"/>
      <c r="C562" s="3"/>
    </row>
    <row r="563" ht="12.75" customHeight="1">
      <c r="B563" s="2"/>
      <c r="C563" s="3"/>
    </row>
    <row r="564" ht="12.75" customHeight="1">
      <c r="B564" s="2"/>
      <c r="C564" s="3"/>
    </row>
    <row r="565" ht="12.75" customHeight="1">
      <c r="B565" s="2"/>
      <c r="C565" s="3"/>
    </row>
    <row r="566" ht="12.75" customHeight="1">
      <c r="B566" s="2"/>
      <c r="C566" s="3"/>
    </row>
    <row r="567" ht="12.75" customHeight="1">
      <c r="B567" s="2"/>
      <c r="C567" s="3"/>
    </row>
    <row r="568" ht="12.75" customHeight="1">
      <c r="B568" s="2"/>
      <c r="C568" s="3"/>
    </row>
    <row r="569" ht="12.75" customHeight="1">
      <c r="B569" s="2"/>
      <c r="C569" s="3"/>
    </row>
    <row r="570" ht="12.75" customHeight="1">
      <c r="B570" s="2"/>
      <c r="C570" s="3"/>
    </row>
    <row r="571" ht="12.75" customHeight="1">
      <c r="B571" s="2"/>
      <c r="C571" s="3"/>
    </row>
    <row r="572" ht="12.75" customHeight="1">
      <c r="B572" s="2"/>
      <c r="C572" s="3"/>
    </row>
    <row r="573" ht="12.75" customHeight="1">
      <c r="B573" s="2"/>
      <c r="C573" s="3"/>
    </row>
    <row r="574" ht="12.75" customHeight="1">
      <c r="B574" s="2"/>
      <c r="C574" s="3"/>
    </row>
    <row r="575" ht="12.75" customHeight="1">
      <c r="B575" s="2"/>
      <c r="C575" s="3"/>
    </row>
    <row r="576" ht="12.75" customHeight="1">
      <c r="B576" s="2"/>
      <c r="C576" s="3"/>
    </row>
    <row r="577" ht="12.75" customHeight="1">
      <c r="B577" s="2"/>
      <c r="C577" s="3"/>
    </row>
    <row r="578" ht="12.75" customHeight="1">
      <c r="B578" s="2"/>
      <c r="C578" s="3"/>
    </row>
    <row r="579" ht="12.75" customHeight="1">
      <c r="B579" s="2"/>
      <c r="C579" s="3"/>
    </row>
    <row r="580" ht="12.75" customHeight="1">
      <c r="B580" s="2"/>
      <c r="C580" s="3"/>
    </row>
    <row r="581" ht="12.75" customHeight="1">
      <c r="B581" s="2"/>
      <c r="C581" s="3"/>
    </row>
    <row r="582" ht="12.75" customHeight="1">
      <c r="B582" s="2"/>
      <c r="C582" s="3"/>
    </row>
    <row r="583" ht="12.75" customHeight="1">
      <c r="B583" s="2"/>
      <c r="C583" s="3"/>
    </row>
    <row r="584" ht="12.75" customHeight="1">
      <c r="B584" s="2"/>
      <c r="C584" s="3"/>
    </row>
    <row r="585" ht="12.75" customHeight="1">
      <c r="B585" s="2"/>
      <c r="C585" s="3"/>
    </row>
    <row r="586" ht="12.75" customHeight="1">
      <c r="B586" s="2"/>
      <c r="C586" s="3"/>
    </row>
    <row r="587" ht="12.75" customHeight="1">
      <c r="B587" s="2"/>
      <c r="C587" s="3"/>
    </row>
    <row r="588" ht="12.75" customHeight="1">
      <c r="B588" s="2"/>
      <c r="C588" s="3"/>
    </row>
    <row r="589" ht="12.75" customHeight="1">
      <c r="B589" s="2"/>
      <c r="C589" s="3"/>
    </row>
    <row r="590" ht="12.75" customHeight="1">
      <c r="B590" s="2"/>
      <c r="C590" s="3"/>
    </row>
    <row r="591" ht="12.75" customHeight="1">
      <c r="B591" s="2"/>
      <c r="C591" s="3"/>
    </row>
    <row r="592" ht="12.75" customHeight="1">
      <c r="B592" s="2"/>
      <c r="C592" s="3"/>
    </row>
    <row r="593" ht="12.75" customHeight="1">
      <c r="B593" s="2"/>
      <c r="C593" s="3"/>
    </row>
    <row r="594" ht="12.75" customHeight="1">
      <c r="B594" s="2"/>
      <c r="C594" s="3"/>
    </row>
    <row r="595" ht="12.75" customHeight="1">
      <c r="B595" s="2"/>
      <c r="C595" s="3"/>
    </row>
    <row r="596" ht="12.75" customHeight="1">
      <c r="B596" s="2"/>
      <c r="C596" s="3"/>
    </row>
    <row r="597" ht="12.75" customHeight="1">
      <c r="B597" s="2"/>
      <c r="C597" s="3"/>
    </row>
    <row r="598" ht="12.75" customHeight="1">
      <c r="B598" s="2"/>
      <c r="C598" s="3"/>
    </row>
    <row r="599" ht="12.75" customHeight="1">
      <c r="B599" s="2"/>
      <c r="C599" s="3"/>
    </row>
    <row r="600" ht="12.75" customHeight="1">
      <c r="B600" s="2"/>
      <c r="C600" s="3"/>
    </row>
    <row r="601" ht="12.75" customHeight="1">
      <c r="B601" s="2"/>
      <c r="C601" s="3"/>
    </row>
    <row r="602" ht="12.75" customHeight="1">
      <c r="B602" s="2"/>
      <c r="C602" s="3"/>
    </row>
    <row r="603" ht="12.75" customHeight="1">
      <c r="B603" s="2"/>
      <c r="C603" s="3"/>
    </row>
    <row r="604" ht="12.75" customHeight="1">
      <c r="B604" s="2"/>
      <c r="C604" s="3"/>
    </row>
    <row r="605" ht="12.75" customHeight="1">
      <c r="B605" s="2"/>
      <c r="C605" s="3"/>
    </row>
    <row r="606" ht="12.75" customHeight="1">
      <c r="B606" s="2"/>
      <c r="C606" s="3"/>
    </row>
    <row r="607" ht="12.75" customHeight="1">
      <c r="B607" s="2"/>
      <c r="C607" s="3"/>
    </row>
    <row r="608" ht="12.75" customHeight="1">
      <c r="B608" s="2"/>
      <c r="C608" s="3"/>
    </row>
    <row r="609" ht="12.75" customHeight="1">
      <c r="B609" s="2"/>
      <c r="C609" s="3"/>
    </row>
    <row r="610" ht="12.75" customHeight="1">
      <c r="B610" s="2"/>
      <c r="C610" s="3"/>
    </row>
    <row r="611" ht="12.75" customHeight="1">
      <c r="B611" s="2"/>
      <c r="C611" s="3"/>
    </row>
    <row r="612" ht="12.75" customHeight="1">
      <c r="B612" s="2"/>
      <c r="C612" s="3"/>
    </row>
    <row r="613" ht="12.75" customHeight="1">
      <c r="B613" s="2"/>
      <c r="C613" s="3"/>
    </row>
    <row r="614" ht="12.75" customHeight="1">
      <c r="B614" s="2"/>
      <c r="C614" s="3"/>
    </row>
    <row r="615" ht="12.75" customHeight="1">
      <c r="B615" s="2"/>
      <c r="C615" s="3"/>
    </row>
    <row r="616" ht="12.75" customHeight="1">
      <c r="B616" s="2"/>
      <c r="C616" s="3"/>
    </row>
    <row r="617" ht="12.75" customHeight="1">
      <c r="B617" s="2"/>
      <c r="C617" s="3"/>
    </row>
    <row r="618" ht="12.75" customHeight="1">
      <c r="B618" s="2"/>
      <c r="C618" s="3"/>
    </row>
    <row r="619" ht="12.75" customHeight="1">
      <c r="B619" s="2"/>
      <c r="C619" s="3"/>
    </row>
    <row r="620" ht="12.75" customHeight="1">
      <c r="B620" s="2"/>
      <c r="C620" s="3"/>
    </row>
    <row r="621" ht="12.75" customHeight="1">
      <c r="B621" s="2"/>
      <c r="C621" s="3"/>
    </row>
    <row r="622" ht="12.75" customHeight="1">
      <c r="B622" s="2"/>
      <c r="C622" s="3"/>
    </row>
    <row r="623" ht="12.75" customHeight="1">
      <c r="B623" s="2"/>
      <c r="C623" s="3"/>
    </row>
    <row r="624" ht="12.75" customHeight="1">
      <c r="B624" s="2"/>
      <c r="C624" s="3"/>
    </row>
    <row r="625" ht="12.75" customHeight="1">
      <c r="B625" s="2"/>
      <c r="C625" s="3"/>
    </row>
    <row r="626" ht="12.75" customHeight="1">
      <c r="B626" s="2"/>
      <c r="C626" s="3"/>
    </row>
    <row r="627" ht="12.75" customHeight="1">
      <c r="B627" s="2"/>
      <c r="C627" s="3"/>
    </row>
    <row r="628" ht="12.75" customHeight="1">
      <c r="B628" s="2"/>
      <c r="C628" s="3"/>
    </row>
    <row r="629" ht="12.75" customHeight="1">
      <c r="B629" s="2"/>
      <c r="C629" s="3"/>
    </row>
    <row r="630" ht="12.75" customHeight="1">
      <c r="B630" s="2"/>
      <c r="C630" s="3"/>
    </row>
    <row r="631" ht="12.75" customHeight="1">
      <c r="B631" s="2"/>
      <c r="C631" s="3"/>
    </row>
    <row r="632" ht="12.75" customHeight="1">
      <c r="B632" s="2"/>
      <c r="C632" s="3"/>
    </row>
    <row r="633" ht="12.75" customHeight="1">
      <c r="B633" s="2"/>
      <c r="C633" s="3"/>
    </row>
    <row r="634" ht="12.75" customHeight="1">
      <c r="B634" s="2"/>
      <c r="C634" s="3"/>
    </row>
    <row r="635" ht="12.75" customHeight="1">
      <c r="B635" s="2"/>
      <c r="C635" s="3"/>
    </row>
    <row r="636" ht="12.75" customHeight="1">
      <c r="B636" s="2"/>
      <c r="C636" s="3"/>
    </row>
    <row r="637" ht="12.75" customHeight="1">
      <c r="B637" s="2"/>
      <c r="C637" s="3"/>
    </row>
    <row r="638" ht="12.75" customHeight="1">
      <c r="B638" s="2"/>
      <c r="C638" s="3"/>
    </row>
    <row r="639" ht="12.75" customHeight="1">
      <c r="B639" s="2"/>
      <c r="C639" s="3"/>
    </row>
    <row r="640" ht="12.75" customHeight="1">
      <c r="B640" s="2"/>
      <c r="C640" s="3"/>
    </row>
    <row r="641" ht="12.75" customHeight="1">
      <c r="B641" s="2"/>
      <c r="C641" s="3"/>
    </row>
    <row r="642" ht="12.75" customHeight="1">
      <c r="B642" s="2"/>
      <c r="C642" s="3"/>
    </row>
    <row r="643" ht="12.75" customHeight="1">
      <c r="B643" s="2"/>
      <c r="C643" s="3"/>
    </row>
    <row r="644" ht="12.75" customHeight="1">
      <c r="B644" s="2"/>
      <c r="C644" s="3"/>
    </row>
    <row r="645" ht="12.75" customHeight="1">
      <c r="B645" s="2"/>
      <c r="C645" s="3"/>
    </row>
    <row r="646" ht="12.75" customHeight="1">
      <c r="B646" s="2"/>
      <c r="C646" s="3"/>
    </row>
    <row r="647" ht="12.75" customHeight="1">
      <c r="B647" s="2"/>
      <c r="C647" s="3"/>
    </row>
    <row r="648" ht="12.75" customHeight="1">
      <c r="B648" s="2"/>
      <c r="C648" s="3"/>
    </row>
    <row r="649" ht="12.75" customHeight="1">
      <c r="B649" s="2"/>
      <c r="C649" s="3"/>
    </row>
    <row r="650" ht="12.75" customHeight="1">
      <c r="B650" s="2"/>
      <c r="C650" s="3"/>
    </row>
    <row r="651" ht="12.75" customHeight="1">
      <c r="B651" s="2"/>
      <c r="C651" s="3"/>
    </row>
    <row r="652" ht="12.75" customHeight="1">
      <c r="B652" s="2"/>
      <c r="C652" s="3"/>
    </row>
    <row r="653" ht="12.75" customHeight="1">
      <c r="B653" s="2"/>
      <c r="C653" s="3"/>
    </row>
    <row r="654" ht="12.75" customHeight="1">
      <c r="B654" s="2"/>
      <c r="C654" s="3"/>
    </row>
    <row r="655" ht="12.75" customHeight="1">
      <c r="B655" s="2"/>
      <c r="C655" s="3"/>
    </row>
    <row r="656" ht="12.75" customHeight="1">
      <c r="B656" s="2"/>
      <c r="C656" s="3"/>
    </row>
    <row r="657" ht="12.75" customHeight="1">
      <c r="B657" s="2"/>
      <c r="C657" s="3"/>
    </row>
    <row r="658" ht="12.75" customHeight="1">
      <c r="B658" s="2"/>
      <c r="C658" s="3"/>
    </row>
    <row r="659" ht="12.75" customHeight="1">
      <c r="B659" s="2"/>
      <c r="C659" s="3"/>
    </row>
    <row r="660" ht="12.75" customHeight="1">
      <c r="B660" s="2"/>
      <c r="C660" s="3"/>
    </row>
    <row r="661" ht="12.75" customHeight="1">
      <c r="B661" s="2"/>
      <c r="C661" s="3"/>
    </row>
    <row r="662" ht="12.75" customHeight="1">
      <c r="B662" s="2"/>
      <c r="C662" s="3"/>
    </row>
    <row r="663" ht="12.75" customHeight="1">
      <c r="B663" s="2"/>
      <c r="C663" s="3"/>
    </row>
    <row r="664" ht="12.75" customHeight="1">
      <c r="B664" s="2"/>
      <c r="C664" s="3"/>
    </row>
    <row r="665" ht="12.75" customHeight="1">
      <c r="B665" s="2"/>
      <c r="C665" s="3"/>
    </row>
    <row r="666" ht="12.75" customHeight="1">
      <c r="B666" s="2"/>
      <c r="C666" s="3"/>
    </row>
    <row r="667" ht="12.75" customHeight="1">
      <c r="B667" s="2"/>
      <c r="C667" s="3"/>
    </row>
    <row r="668" ht="12.75" customHeight="1">
      <c r="B668" s="2"/>
      <c r="C668" s="3"/>
    </row>
    <row r="669" ht="12.75" customHeight="1">
      <c r="B669" s="2"/>
      <c r="C669" s="3"/>
    </row>
    <row r="670" ht="12.75" customHeight="1">
      <c r="B670" s="2"/>
      <c r="C670" s="3"/>
    </row>
    <row r="671" ht="12.75" customHeight="1">
      <c r="B671" s="2"/>
      <c r="C671" s="3"/>
    </row>
    <row r="672" ht="12.75" customHeight="1">
      <c r="B672" s="2"/>
      <c r="C672" s="3"/>
    </row>
    <row r="673" ht="12.75" customHeight="1">
      <c r="B673" s="2"/>
      <c r="C673" s="3"/>
    </row>
    <row r="674" ht="12.75" customHeight="1">
      <c r="B674" s="2"/>
      <c r="C674" s="3"/>
    </row>
    <row r="675" ht="12.75" customHeight="1">
      <c r="B675" s="2"/>
      <c r="C675" s="3"/>
    </row>
    <row r="676" ht="12.75" customHeight="1">
      <c r="B676" s="2"/>
      <c r="C676" s="3"/>
    </row>
    <row r="677" ht="12.75" customHeight="1">
      <c r="B677" s="2"/>
      <c r="C677" s="3"/>
    </row>
    <row r="678" ht="12.75" customHeight="1">
      <c r="B678" s="2"/>
      <c r="C678" s="3"/>
    </row>
    <row r="679" ht="12.75" customHeight="1">
      <c r="B679" s="2"/>
      <c r="C679" s="3"/>
    </row>
    <row r="680" ht="12.75" customHeight="1">
      <c r="B680" s="2"/>
      <c r="C680" s="3"/>
    </row>
    <row r="681" ht="12.75" customHeight="1">
      <c r="B681" s="2"/>
      <c r="C681" s="3"/>
    </row>
    <row r="682" ht="12.75" customHeight="1">
      <c r="B682" s="2"/>
      <c r="C682" s="3"/>
    </row>
    <row r="683" ht="12.75" customHeight="1">
      <c r="B683" s="2"/>
      <c r="C683" s="3"/>
    </row>
    <row r="684" ht="12.75" customHeight="1">
      <c r="B684" s="2"/>
      <c r="C684" s="3"/>
    </row>
    <row r="685" ht="12.75" customHeight="1">
      <c r="B685" s="2"/>
      <c r="C685" s="3"/>
    </row>
    <row r="686" ht="12.75" customHeight="1">
      <c r="B686" s="2"/>
      <c r="C686" s="3"/>
    </row>
    <row r="687" ht="12.75" customHeight="1">
      <c r="B687" s="2"/>
      <c r="C687" s="3"/>
    </row>
    <row r="688" ht="12.75" customHeight="1">
      <c r="B688" s="2"/>
      <c r="C688" s="3"/>
    </row>
    <row r="689" ht="12.75" customHeight="1">
      <c r="B689" s="2"/>
      <c r="C689" s="3"/>
    </row>
    <row r="690" ht="12.75" customHeight="1">
      <c r="B690" s="2"/>
      <c r="C690" s="3"/>
    </row>
    <row r="691" ht="12.75" customHeight="1">
      <c r="B691" s="2"/>
      <c r="C691" s="3"/>
    </row>
    <row r="692" ht="12.75" customHeight="1">
      <c r="B692" s="2"/>
      <c r="C692" s="3"/>
    </row>
    <row r="693" ht="12.75" customHeight="1">
      <c r="B693" s="2"/>
      <c r="C693" s="3"/>
    </row>
    <row r="694" ht="12.75" customHeight="1">
      <c r="B694" s="2"/>
      <c r="C694" s="3"/>
    </row>
    <row r="695" ht="12.75" customHeight="1">
      <c r="B695" s="2"/>
      <c r="C695" s="3"/>
    </row>
    <row r="696" ht="12.75" customHeight="1">
      <c r="B696" s="2"/>
      <c r="C696" s="3"/>
    </row>
    <row r="697" ht="12.75" customHeight="1">
      <c r="B697" s="2"/>
      <c r="C697" s="3"/>
    </row>
    <row r="698" ht="12.75" customHeight="1">
      <c r="B698" s="2"/>
      <c r="C698" s="3"/>
    </row>
    <row r="699" ht="12.75" customHeight="1">
      <c r="B699" s="2"/>
      <c r="C699" s="3"/>
    </row>
    <row r="700" ht="12.75" customHeight="1">
      <c r="B700" s="2"/>
      <c r="C700" s="3"/>
    </row>
    <row r="701" ht="12.75" customHeight="1">
      <c r="B701" s="2"/>
      <c r="C701" s="3"/>
    </row>
    <row r="702" ht="12.75" customHeight="1">
      <c r="B702" s="2"/>
      <c r="C702" s="3"/>
    </row>
    <row r="703" ht="12.75" customHeight="1">
      <c r="B703" s="2"/>
      <c r="C703" s="3"/>
    </row>
    <row r="704" ht="12.75" customHeight="1">
      <c r="B704" s="2"/>
      <c r="C704" s="3"/>
    </row>
    <row r="705" ht="12.75" customHeight="1">
      <c r="B705" s="2"/>
      <c r="C705" s="3"/>
    </row>
    <row r="706" ht="12.75" customHeight="1">
      <c r="B706" s="2"/>
      <c r="C706" s="3"/>
    </row>
    <row r="707" ht="12.75" customHeight="1">
      <c r="B707" s="2"/>
      <c r="C707" s="3"/>
    </row>
    <row r="708" ht="12.75" customHeight="1">
      <c r="B708" s="2"/>
      <c r="C708" s="3"/>
    </row>
    <row r="709" ht="12.75" customHeight="1">
      <c r="B709" s="2"/>
      <c r="C709" s="3"/>
    </row>
    <row r="710" ht="12.75" customHeight="1">
      <c r="B710" s="2"/>
      <c r="C710" s="3"/>
    </row>
    <row r="711" ht="12.75" customHeight="1">
      <c r="B711" s="2"/>
      <c r="C711" s="3"/>
    </row>
    <row r="712" ht="12.75" customHeight="1">
      <c r="B712" s="2"/>
      <c r="C712" s="3"/>
    </row>
    <row r="713" ht="12.75" customHeight="1">
      <c r="B713" s="2"/>
      <c r="C713" s="3"/>
    </row>
    <row r="714" ht="12.75" customHeight="1">
      <c r="B714" s="2"/>
      <c r="C714" s="3"/>
    </row>
    <row r="715" ht="12.75" customHeight="1">
      <c r="B715" s="2"/>
      <c r="C715" s="3"/>
    </row>
    <row r="716" ht="12.75" customHeight="1">
      <c r="B716" s="2"/>
      <c r="C716" s="3"/>
    </row>
    <row r="717" ht="12.75" customHeight="1">
      <c r="B717" s="2"/>
      <c r="C717" s="3"/>
    </row>
    <row r="718" ht="12.75" customHeight="1">
      <c r="B718" s="2"/>
      <c r="C718" s="3"/>
    </row>
    <row r="719" ht="12.75" customHeight="1">
      <c r="B719" s="2"/>
      <c r="C719" s="3"/>
    </row>
    <row r="720" ht="12.75" customHeight="1">
      <c r="B720" s="2"/>
      <c r="C720" s="3"/>
    </row>
    <row r="721" ht="12.75" customHeight="1">
      <c r="B721" s="2"/>
      <c r="C721" s="3"/>
    </row>
    <row r="722" ht="12.75" customHeight="1">
      <c r="B722" s="2"/>
      <c r="C722" s="3"/>
    </row>
    <row r="723" ht="12.75" customHeight="1">
      <c r="B723" s="2"/>
      <c r="C723" s="3"/>
    </row>
    <row r="724" ht="12.75" customHeight="1">
      <c r="B724" s="2"/>
      <c r="C724" s="3"/>
    </row>
    <row r="725" ht="12.75" customHeight="1">
      <c r="B725" s="2"/>
      <c r="C725" s="3"/>
    </row>
    <row r="726" ht="12.75" customHeight="1">
      <c r="B726" s="2"/>
      <c r="C726" s="3"/>
    </row>
    <row r="727" ht="12.75" customHeight="1">
      <c r="B727" s="2"/>
      <c r="C727" s="3"/>
    </row>
    <row r="728" ht="12.75" customHeight="1">
      <c r="B728" s="2"/>
      <c r="C728" s="3"/>
    </row>
    <row r="729" ht="12.75" customHeight="1">
      <c r="B729" s="2"/>
      <c r="C729" s="3"/>
    </row>
    <row r="730" ht="12.75" customHeight="1">
      <c r="B730" s="2"/>
      <c r="C730" s="3"/>
    </row>
    <row r="731" ht="12.75" customHeight="1">
      <c r="B731" s="2"/>
      <c r="C731" s="3"/>
    </row>
    <row r="732" ht="12.75" customHeight="1">
      <c r="B732" s="2"/>
      <c r="C732" s="3"/>
    </row>
    <row r="733" ht="12.75" customHeight="1">
      <c r="B733" s="2"/>
      <c r="C733" s="3"/>
    </row>
    <row r="734" ht="12.75" customHeight="1">
      <c r="B734" s="2"/>
      <c r="C734" s="3"/>
    </row>
    <row r="735" ht="12.75" customHeight="1">
      <c r="B735" s="2"/>
      <c r="C735" s="3"/>
    </row>
    <row r="736" ht="12.75" customHeight="1">
      <c r="B736" s="2"/>
      <c r="C736" s="3"/>
    </row>
    <row r="737" ht="12.75" customHeight="1">
      <c r="B737" s="2"/>
      <c r="C737" s="3"/>
    </row>
    <row r="738" ht="12.75" customHeight="1">
      <c r="B738" s="2"/>
      <c r="C738" s="3"/>
    </row>
    <row r="739" ht="12.75" customHeight="1">
      <c r="B739" s="2"/>
      <c r="C739" s="3"/>
    </row>
    <row r="740" ht="12.75" customHeight="1">
      <c r="B740" s="2"/>
      <c r="C740" s="3"/>
    </row>
    <row r="741" ht="12.75" customHeight="1">
      <c r="B741" s="2"/>
      <c r="C741" s="3"/>
    </row>
    <row r="742" ht="12.75" customHeight="1">
      <c r="B742" s="2"/>
      <c r="C742" s="3"/>
    </row>
    <row r="743" ht="12.75" customHeight="1">
      <c r="B743" s="2"/>
      <c r="C743" s="3"/>
    </row>
    <row r="744" ht="12.75" customHeight="1">
      <c r="B744" s="2"/>
      <c r="C744" s="3"/>
    </row>
    <row r="745" ht="12.75" customHeight="1">
      <c r="B745" s="2"/>
      <c r="C745" s="3"/>
    </row>
    <row r="746" ht="12.75" customHeight="1">
      <c r="B746" s="2"/>
      <c r="C746" s="3"/>
    </row>
    <row r="747" ht="12.75" customHeight="1">
      <c r="B747" s="2"/>
      <c r="C747" s="3"/>
    </row>
    <row r="748" ht="12.75" customHeight="1">
      <c r="B748" s="2"/>
      <c r="C748" s="3"/>
    </row>
    <row r="749" ht="12.75" customHeight="1">
      <c r="B749" s="2"/>
      <c r="C749" s="3"/>
    </row>
    <row r="750" ht="12.75" customHeight="1">
      <c r="B750" s="2"/>
      <c r="C750" s="3"/>
    </row>
    <row r="751" ht="12.75" customHeight="1">
      <c r="B751" s="2"/>
      <c r="C751" s="3"/>
    </row>
    <row r="752" ht="12.75" customHeight="1">
      <c r="B752" s="2"/>
      <c r="C752" s="3"/>
    </row>
    <row r="753" ht="12.75" customHeight="1">
      <c r="B753" s="2"/>
      <c r="C753" s="3"/>
    </row>
    <row r="754" ht="12.75" customHeight="1">
      <c r="B754" s="2"/>
      <c r="C754" s="3"/>
    </row>
    <row r="755" ht="12.75" customHeight="1">
      <c r="B755" s="2"/>
      <c r="C755" s="3"/>
    </row>
    <row r="756" ht="12.75" customHeight="1">
      <c r="B756" s="2"/>
      <c r="C756" s="3"/>
    </row>
    <row r="757" ht="12.75" customHeight="1">
      <c r="B757" s="2"/>
      <c r="C757" s="3"/>
    </row>
    <row r="758" ht="12.75" customHeight="1">
      <c r="B758" s="2"/>
      <c r="C758" s="3"/>
    </row>
    <row r="759" ht="12.75" customHeight="1">
      <c r="B759" s="2"/>
      <c r="C759" s="3"/>
    </row>
    <row r="760" ht="12.75" customHeight="1">
      <c r="B760" s="2"/>
      <c r="C760" s="3"/>
    </row>
    <row r="761" ht="12.75" customHeight="1">
      <c r="B761" s="2"/>
      <c r="C761" s="3"/>
    </row>
    <row r="762" ht="12.75" customHeight="1">
      <c r="B762" s="2"/>
      <c r="C762" s="3"/>
    </row>
    <row r="763" ht="12.75" customHeight="1">
      <c r="B763" s="2"/>
      <c r="C763" s="3"/>
    </row>
    <row r="764" ht="12.75" customHeight="1">
      <c r="B764" s="2"/>
      <c r="C764" s="3"/>
    </row>
    <row r="765" ht="12.75" customHeight="1">
      <c r="B765" s="2"/>
      <c r="C765" s="3"/>
    </row>
    <row r="766" ht="12.75" customHeight="1">
      <c r="B766" s="2"/>
      <c r="C766" s="3"/>
    </row>
    <row r="767" ht="12.75" customHeight="1">
      <c r="B767" s="2"/>
      <c r="C767" s="3"/>
    </row>
    <row r="768" ht="12.75" customHeight="1">
      <c r="B768" s="2"/>
      <c r="C768" s="3"/>
    </row>
    <row r="769" ht="12.75" customHeight="1">
      <c r="B769" s="2"/>
      <c r="C769" s="3"/>
    </row>
    <row r="770" ht="12.75" customHeight="1">
      <c r="B770" s="2"/>
      <c r="C770" s="3"/>
    </row>
    <row r="771" ht="12.75" customHeight="1">
      <c r="B771" s="2"/>
      <c r="C771" s="3"/>
    </row>
    <row r="772" ht="12.75" customHeight="1">
      <c r="B772" s="2"/>
      <c r="C772" s="3"/>
    </row>
    <row r="773" ht="12.75" customHeight="1">
      <c r="B773" s="2"/>
      <c r="C773" s="3"/>
    </row>
    <row r="774" ht="12.75" customHeight="1">
      <c r="B774" s="2"/>
      <c r="C774" s="3"/>
    </row>
    <row r="775" ht="12.75" customHeight="1">
      <c r="B775" s="2"/>
      <c r="C775" s="3"/>
    </row>
    <row r="776" ht="12.75" customHeight="1">
      <c r="B776" s="2"/>
      <c r="C776" s="3"/>
    </row>
    <row r="777" ht="12.75" customHeight="1">
      <c r="B777" s="2"/>
      <c r="C777" s="3"/>
    </row>
    <row r="778" ht="12.75" customHeight="1">
      <c r="B778" s="2"/>
      <c r="C778" s="3"/>
    </row>
    <row r="779" ht="12.75" customHeight="1">
      <c r="B779" s="2"/>
      <c r="C779" s="3"/>
    </row>
    <row r="780" ht="12.75" customHeight="1">
      <c r="B780" s="2"/>
      <c r="C780" s="3"/>
    </row>
    <row r="781" ht="12.75" customHeight="1">
      <c r="B781" s="2"/>
      <c r="C781" s="3"/>
    </row>
    <row r="782" ht="12.75" customHeight="1">
      <c r="B782" s="2"/>
      <c r="C782" s="3"/>
    </row>
    <row r="783" ht="12.75" customHeight="1">
      <c r="B783" s="2"/>
      <c r="C783" s="3"/>
    </row>
    <row r="784" ht="12.75" customHeight="1">
      <c r="B784" s="2"/>
      <c r="C784" s="3"/>
    </row>
    <row r="785" ht="12.75" customHeight="1">
      <c r="B785" s="2"/>
      <c r="C785" s="3"/>
    </row>
    <row r="786" ht="12.75" customHeight="1">
      <c r="B786" s="2"/>
      <c r="C786" s="3"/>
    </row>
    <row r="787" ht="12.75" customHeight="1">
      <c r="B787" s="2"/>
      <c r="C787" s="3"/>
    </row>
    <row r="788" ht="12.75" customHeight="1">
      <c r="B788" s="2"/>
      <c r="C788" s="3"/>
    </row>
    <row r="789" ht="12.75" customHeight="1">
      <c r="B789" s="2"/>
      <c r="C789" s="3"/>
    </row>
    <row r="790" ht="12.75" customHeight="1">
      <c r="B790" s="2"/>
      <c r="C790" s="3"/>
    </row>
    <row r="791" ht="12.75" customHeight="1">
      <c r="B791" s="2"/>
      <c r="C791" s="3"/>
    </row>
    <row r="792" ht="12.75" customHeight="1">
      <c r="B792" s="2"/>
      <c r="C792" s="3"/>
    </row>
    <row r="793" ht="12.75" customHeight="1">
      <c r="B793" s="2"/>
      <c r="C793" s="3"/>
    </row>
    <row r="794" ht="12.75" customHeight="1">
      <c r="B794" s="2"/>
      <c r="C794" s="3"/>
    </row>
    <row r="795" ht="12.75" customHeight="1">
      <c r="B795" s="2"/>
      <c r="C795" s="3"/>
    </row>
    <row r="796" ht="12.75" customHeight="1">
      <c r="B796" s="2"/>
      <c r="C796" s="3"/>
    </row>
    <row r="797" ht="12.75" customHeight="1">
      <c r="B797" s="2"/>
      <c r="C797" s="3"/>
    </row>
    <row r="798" ht="12.75" customHeight="1">
      <c r="B798" s="2"/>
      <c r="C798" s="3"/>
    </row>
    <row r="799" ht="12.75" customHeight="1">
      <c r="B799" s="2"/>
      <c r="C799" s="3"/>
    </row>
    <row r="800" ht="12.75" customHeight="1">
      <c r="B800" s="2"/>
      <c r="C800" s="3"/>
    </row>
    <row r="801" ht="12.75" customHeight="1">
      <c r="B801" s="2"/>
      <c r="C801" s="3"/>
    </row>
    <row r="802" ht="12.75" customHeight="1">
      <c r="B802" s="2"/>
      <c r="C802" s="3"/>
    </row>
    <row r="803" ht="12.75" customHeight="1">
      <c r="B803" s="2"/>
      <c r="C803" s="3"/>
    </row>
    <row r="804" ht="12.75" customHeight="1">
      <c r="B804" s="2"/>
      <c r="C804" s="3"/>
    </row>
    <row r="805" ht="12.75" customHeight="1">
      <c r="B805" s="2"/>
      <c r="C805" s="3"/>
    </row>
    <row r="806" ht="12.75" customHeight="1">
      <c r="B806" s="2"/>
      <c r="C806" s="3"/>
    </row>
    <row r="807" ht="12.75" customHeight="1">
      <c r="B807" s="2"/>
      <c r="C807" s="3"/>
    </row>
    <row r="808" ht="12.75" customHeight="1">
      <c r="B808" s="2"/>
      <c r="C808" s="3"/>
    </row>
    <row r="809" ht="12.75" customHeight="1">
      <c r="B809" s="2"/>
      <c r="C809" s="3"/>
    </row>
    <row r="810" ht="12.75" customHeight="1">
      <c r="B810" s="2"/>
      <c r="C810" s="3"/>
    </row>
    <row r="811" ht="12.75" customHeight="1">
      <c r="B811" s="2"/>
      <c r="C811" s="3"/>
    </row>
    <row r="812" ht="12.75" customHeight="1">
      <c r="B812" s="2"/>
      <c r="C812" s="3"/>
    </row>
    <row r="813" ht="12.75" customHeight="1">
      <c r="B813" s="2"/>
      <c r="C813" s="3"/>
    </row>
    <row r="814" ht="12.75" customHeight="1">
      <c r="B814" s="2"/>
      <c r="C814" s="3"/>
    </row>
    <row r="815" ht="12.75" customHeight="1">
      <c r="B815" s="2"/>
      <c r="C815" s="3"/>
    </row>
    <row r="816" ht="12.75" customHeight="1">
      <c r="B816" s="2"/>
      <c r="C816" s="3"/>
    </row>
    <row r="817" ht="12.75" customHeight="1">
      <c r="B817" s="2"/>
      <c r="C817" s="3"/>
    </row>
    <row r="818" ht="12.75" customHeight="1">
      <c r="B818" s="2"/>
      <c r="C818" s="3"/>
    </row>
    <row r="819" ht="12.75" customHeight="1">
      <c r="B819" s="2"/>
      <c r="C819" s="3"/>
    </row>
    <row r="820" ht="12.75" customHeight="1">
      <c r="B820" s="2"/>
      <c r="C820" s="3"/>
    </row>
    <row r="821" ht="12.75" customHeight="1">
      <c r="B821" s="2"/>
      <c r="C821" s="3"/>
    </row>
    <row r="822" ht="12.75" customHeight="1">
      <c r="B822" s="2"/>
      <c r="C822" s="3"/>
    </row>
    <row r="823" ht="12.75" customHeight="1">
      <c r="B823" s="2"/>
      <c r="C823" s="3"/>
    </row>
    <row r="824" ht="12.75" customHeight="1">
      <c r="B824" s="2"/>
      <c r="C824" s="3"/>
    </row>
    <row r="825" ht="12.75" customHeight="1">
      <c r="B825" s="2"/>
      <c r="C825" s="3"/>
    </row>
    <row r="826" ht="12.75" customHeight="1">
      <c r="B826" s="2"/>
      <c r="C826" s="3"/>
    </row>
    <row r="827" ht="12.75" customHeight="1">
      <c r="B827" s="2"/>
      <c r="C827" s="3"/>
    </row>
    <row r="828" ht="12.75" customHeight="1">
      <c r="B828" s="2"/>
      <c r="C828" s="3"/>
    </row>
    <row r="829" ht="12.75" customHeight="1">
      <c r="B829" s="2"/>
      <c r="C829" s="3"/>
    </row>
    <row r="830" ht="12.75" customHeight="1">
      <c r="B830" s="2"/>
      <c r="C830" s="3"/>
    </row>
    <row r="831" ht="12.75" customHeight="1">
      <c r="B831" s="2"/>
      <c r="C831" s="3"/>
    </row>
    <row r="832" ht="12.75" customHeight="1">
      <c r="B832" s="2"/>
      <c r="C832" s="3"/>
    </row>
    <row r="833" ht="12.75" customHeight="1">
      <c r="B833" s="2"/>
      <c r="C833" s="3"/>
    </row>
    <row r="834" ht="12.75" customHeight="1">
      <c r="B834" s="2"/>
      <c r="C834" s="3"/>
    </row>
    <row r="835" ht="12.75" customHeight="1">
      <c r="B835" s="2"/>
      <c r="C835" s="3"/>
    </row>
    <row r="836" ht="12.75" customHeight="1">
      <c r="B836" s="2"/>
      <c r="C836" s="3"/>
    </row>
    <row r="837" ht="12.75" customHeight="1">
      <c r="B837" s="2"/>
      <c r="C837" s="3"/>
    </row>
    <row r="838" ht="12.75" customHeight="1">
      <c r="B838" s="2"/>
      <c r="C838" s="3"/>
    </row>
    <row r="839" ht="12.75" customHeight="1">
      <c r="B839" s="2"/>
      <c r="C839" s="3"/>
    </row>
    <row r="840" ht="12.75" customHeight="1">
      <c r="B840" s="2"/>
      <c r="C840" s="3"/>
    </row>
    <row r="841" ht="12.75" customHeight="1">
      <c r="B841" s="2"/>
      <c r="C841" s="3"/>
    </row>
    <row r="842" ht="12.75" customHeight="1">
      <c r="B842" s="2"/>
      <c r="C842" s="3"/>
    </row>
    <row r="843" ht="12.75" customHeight="1">
      <c r="B843" s="2"/>
      <c r="C843" s="3"/>
    </row>
    <row r="844" ht="12.75" customHeight="1">
      <c r="B844" s="2"/>
      <c r="C844" s="3"/>
    </row>
    <row r="845" ht="12.75" customHeight="1">
      <c r="B845" s="2"/>
      <c r="C845" s="3"/>
    </row>
    <row r="846" ht="12.75" customHeight="1">
      <c r="B846" s="2"/>
      <c r="C846" s="3"/>
    </row>
    <row r="847" ht="12.75" customHeight="1">
      <c r="B847" s="2"/>
      <c r="C847" s="3"/>
    </row>
    <row r="848" ht="12.75" customHeight="1">
      <c r="B848" s="2"/>
      <c r="C848" s="3"/>
    </row>
    <row r="849" ht="12.75" customHeight="1">
      <c r="B849" s="2"/>
      <c r="C849" s="3"/>
    </row>
    <row r="850" ht="12.75" customHeight="1">
      <c r="B850" s="2"/>
      <c r="C850" s="3"/>
    </row>
    <row r="851" ht="12.75" customHeight="1">
      <c r="B851" s="2"/>
      <c r="C851" s="3"/>
    </row>
    <row r="852" ht="12.75" customHeight="1">
      <c r="B852" s="2"/>
      <c r="C852" s="3"/>
    </row>
    <row r="853" ht="12.75" customHeight="1">
      <c r="B853" s="2"/>
      <c r="C853" s="3"/>
    </row>
    <row r="854" ht="12.75" customHeight="1">
      <c r="B854" s="2"/>
      <c r="C854" s="3"/>
    </row>
    <row r="855" ht="12.75" customHeight="1">
      <c r="B855" s="2"/>
      <c r="C855" s="3"/>
    </row>
    <row r="856" ht="12.75" customHeight="1">
      <c r="B856" s="2"/>
      <c r="C856" s="3"/>
    </row>
    <row r="857" ht="12.75" customHeight="1">
      <c r="B857" s="2"/>
      <c r="C857" s="3"/>
    </row>
    <row r="858" ht="12.75" customHeight="1">
      <c r="B858" s="2"/>
      <c r="C858" s="3"/>
    </row>
    <row r="859" ht="12.75" customHeight="1">
      <c r="B859" s="2"/>
      <c r="C859" s="3"/>
    </row>
    <row r="860" ht="12.75" customHeight="1">
      <c r="B860" s="2"/>
      <c r="C860" s="3"/>
    </row>
    <row r="861" ht="12.75" customHeight="1">
      <c r="B861" s="2"/>
      <c r="C861" s="3"/>
    </row>
    <row r="862" ht="12.75" customHeight="1">
      <c r="B862" s="2"/>
      <c r="C862" s="3"/>
    </row>
    <row r="863" ht="12.75" customHeight="1">
      <c r="B863" s="2"/>
      <c r="C863" s="3"/>
    </row>
    <row r="864" ht="12.75" customHeight="1">
      <c r="B864" s="2"/>
      <c r="C864" s="3"/>
    </row>
    <row r="865" ht="12.75" customHeight="1">
      <c r="B865" s="2"/>
      <c r="C865" s="3"/>
    </row>
    <row r="866" ht="12.75" customHeight="1">
      <c r="B866" s="2"/>
      <c r="C866" s="3"/>
    </row>
    <row r="867" ht="12.75" customHeight="1">
      <c r="B867" s="2"/>
      <c r="C867" s="3"/>
    </row>
    <row r="868" ht="12.75" customHeight="1">
      <c r="B868" s="2"/>
      <c r="C868" s="3"/>
    </row>
    <row r="869" ht="12.75" customHeight="1">
      <c r="B869" s="2"/>
      <c r="C869" s="3"/>
    </row>
    <row r="870" ht="12.75" customHeight="1">
      <c r="B870" s="2"/>
      <c r="C870" s="3"/>
    </row>
    <row r="871" ht="12.75" customHeight="1">
      <c r="B871" s="2"/>
      <c r="C871" s="3"/>
    </row>
    <row r="872" ht="12.75" customHeight="1">
      <c r="B872" s="2"/>
      <c r="C872" s="3"/>
    </row>
    <row r="873" ht="12.75" customHeight="1">
      <c r="B873" s="2"/>
      <c r="C873" s="3"/>
    </row>
    <row r="874" ht="12.75" customHeight="1">
      <c r="B874" s="2"/>
      <c r="C874" s="3"/>
    </row>
    <row r="875" ht="12.75" customHeight="1">
      <c r="B875" s="2"/>
      <c r="C875" s="3"/>
    </row>
    <row r="876" ht="12.75" customHeight="1">
      <c r="B876" s="2"/>
      <c r="C876" s="3"/>
    </row>
    <row r="877" ht="12.75" customHeight="1">
      <c r="B877" s="2"/>
      <c r="C877" s="3"/>
    </row>
    <row r="878" ht="12.75" customHeight="1">
      <c r="B878" s="2"/>
      <c r="C878" s="3"/>
    </row>
    <row r="879" ht="12.75" customHeight="1">
      <c r="B879" s="2"/>
      <c r="C879" s="3"/>
    </row>
    <row r="880" ht="12.75" customHeight="1">
      <c r="B880" s="2"/>
      <c r="C880" s="3"/>
    </row>
    <row r="881" ht="12.75" customHeight="1">
      <c r="B881" s="2"/>
      <c r="C881" s="3"/>
    </row>
    <row r="882" ht="12.75" customHeight="1">
      <c r="B882" s="2"/>
      <c r="C882" s="3"/>
    </row>
    <row r="883" ht="12.75" customHeight="1">
      <c r="B883" s="2"/>
      <c r="C883" s="3"/>
    </row>
    <row r="884" ht="12.75" customHeight="1">
      <c r="B884" s="2"/>
      <c r="C884" s="3"/>
    </row>
    <row r="885" ht="12.75" customHeight="1">
      <c r="B885" s="2"/>
      <c r="C885" s="3"/>
    </row>
    <row r="886" ht="12.75" customHeight="1">
      <c r="B886" s="2"/>
      <c r="C886" s="3"/>
    </row>
    <row r="887" ht="12.75" customHeight="1">
      <c r="B887" s="2"/>
      <c r="C887" s="3"/>
    </row>
    <row r="888" ht="12.75" customHeight="1">
      <c r="B888" s="2"/>
      <c r="C888" s="3"/>
    </row>
    <row r="889" ht="12.75" customHeight="1">
      <c r="B889" s="2"/>
      <c r="C889" s="3"/>
    </row>
    <row r="890" ht="12.75" customHeight="1">
      <c r="B890" s="2"/>
      <c r="C890" s="3"/>
    </row>
    <row r="891" ht="12.75" customHeight="1">
      <c r="B891" s="2"/>
      <c r="C891" s="3"/>
    </row>
    <row r="892" ht="12.75" customHeight="1">
      <c r="B892" s="2"/>
      <c r="C892" s="3"/>
    </row>
    <row r="893" ht="12.75" customHeight="1">
      <c r="B893" s="2"/>
      <c r="C893" s="3"/>
    </row>
    <row r="894" ht="12.75" customHeight="1">
      <c r="B894" s="2"/>
      <c r="C894" s="3"/>
    </row>
    <row r="895" ht="12.75" customHeight="1">
      <c r="B895" s="2"/>
      <c r="C895" s="3"/>
    </row>
    <row r="896" ht="12.75" customHeight="1">
      <c r="B896" s="2"/>
      <c r="C896" s="3"/>
    </row>
    <row r="897" ht="12.75" customHeight="1">
      <c r="B897" s="2"/>
      <c r="C897" s="3"/>
    </row>
    <row r="898" ht="12.75" customHeight="1">
      <c r="B898" s="2"/>
      <c r="C898" s="3"/>
    </row>
    <row r="899" ht="12.75" customHeight="1">
      <c r="B899" s="2"/>
      <c r="C899" s="3"/>
    </row>
    <row r="900" ht="12.75" customHeight="1">
      <c r="B900" s="2"/>
      <c r="C900" s="3"/>
    </row>
    <row r="901" ht="12.75" customHeight="1">
      <c r="B901" s="2"/>
      <c r="C901" s="3"/>
    </row>
    <row r="902" ht="12.75" customHeight="1">
      <c r="B902" s="2"/>
      <c r="C902" s="3"/>
    </row>
    <row r="903" ht="12.75" customHeight="1">
      <c r="B903" s="2"/>
      <c r="C903" s="3"/>
    </row>
    <row r="904" ht="12.75" customHeight="1">
      <c r="B904" s="2"/>
      <c r="C904" s="3"/>
    </row>
    <row r="905" ht="12.75" customHeight="1">
      <c r="B905" s="2"/>
      <c r="C905" s="3"/>
    </row>
    <row r="906" ht="12.75" customHeight="1">
      <c r="B906" s="2"/>
      <c r="C906" s="3"/>
    </row>
    <row r="907" ht="12.75" customHeight="1">
      <c r="B907" s="2"/>
      <c r="C907" s="3"/>
    </row>
    <row r="908" ht="12.75" customHeight="1">
      <c r="B908" s="2"/>
      <c r="C908" s="3"/>
    </row>
    <row r="909" ht="12.75" customHeight="1">
      <c r="B909" s="2"/>
      <c r="C909" s="3"/>
    </row>
    <row r="910" ht="12.75" customHeight="1">
      <c r="B910" s="2"/>
      <c r="C910" s="3"/>
    </row>
    <row r="911" ht="12.75" customHeight="1">
      <c r="B911" s="2"/>
      <c r="C911" s="3"/>
    </row>
    <row r="912" ht="12.75" customHeight="1">
      <c r="B912" s="2"/>
      <c r="C912" s="3"/>
    </row>
    <row r="913" ht="12.75" customHeight="1">
      <c r="B913" s="2"/>
      <c r="C913" s="3"/>
    </row>
    <row r="914" ht="12.75" customHeight="1">
      <c r="B914" s="2"/>
      <c r="C914" s="3"/>
    </row>
    <row r="915" ht="12.75" customHeight="1">
      <c r="B915" s="2"/>
      <c r="C915" s="3"/>
    </row>
    <row r="916" ht="12.75" customHeight="1">
      <c r="B916" s="2"/>
      <c r="C916" s="3"/>
    </row>
    <row r="917" ht="12.75" customHeight="1">
      <c r="B917" s="2"/>
      <c r="C917" s="3"/>
    </row>
    <row r="918" ht="12.75" customHeight="1">
      <c r="B918" s="2"/>
      <c r="C918" s="3"/>
    </row>
    <row r="919" ht="12.75" customHeight="1">
      <c r="B919" s="2"/>
      <c r="C919" s="3"/>
    </row>
    <row r="920" ht="12.75" customHeight="1">
      <c r="B920" s="2"/>
      <c r="C920" s="3"/>
    </row>
    <row r="921" ht="12.75" customHeight="1">
      <c r="B921" s="2"/>
      <c r="C921" s="3"/>
    </row>
    <row r="922" ht="12.75" customHeight="1">
      <c r="B922" s="2"/>
      <c r="C922" s="3"/>
    </row>
    <row r="923" ht="12.75" customHeight="1">
      <c r="B923" s="2"/>
      <c r="C923" s="3"/>
    </row>
    <row r="924" ht="12.75" customHeight="1">
      <c r="B924" s="2"/>
      <c r="C924" s="3"/>
    </row>
    <row r="925" ht="12.75" customHeight="1">
      <c r="B925" s="2"/>
      <c r="C925" s="3"/>
    </row>
    <row r="926" ht="12.75" customHeight="1">
      <c r="B926" s="2"/>
      <c r="C926" s="3"/>
    </row>
    <row r="927" ht="12.75" customHeight="1">
      <c r="B927" s="2"/>
      <c r="C927" s="3"/>
    </row>
    <row r="928" ht="12.75" customHeight="1">
      <c r="B928" s="2"/>
      <c r="C928" s="3"/>
    </row>
    <row r="929" ht="12.75" customHeight="1">
      <c r="B929" s="2"/>
      <c r="C929" s="3"/>
    </row>
    <row r="930" ht="12.75" customHeight="1">
      <c r="B930" s="2"/>
      <c r="C930" s="3"/>
    </row>
    <row r="931" ht="12.75" customHeight="1">
      <c r="B931" s="2"/>
      <c r="C931" s="3"/>
    </row>
    <row r="932" ht="12.75" customHeight="1">
      <c r="B932" s="2"/>
      <c r="C932" s="3"/>
    </row>
    <row r="933" ht="12.75" customHeight="1">
      <c r="B933" s="2"/>
      <c r="C933" s="3"/>
    </row>
    <row r="934" ht="12.75" customHeight="1">
      <c r="B934" s="2"/>
      <c r="C934" s="3"/>
    </row>
    <row r="935" ht="12.75" customHeight="1">
      <c r="B935" s="2"/>
      <c r="C935" s="3"/>
    </row>
    <row r="936" ht="12.75" customHeight="1">
      <c r="B936" s="2"/>
      <c r="C936" s="3"/>
    </row>
    <row r="937" ht="12.75" customHeight="1">
      <c r="B937" s="2"/>
      <c r="C937" s="3"/>
    </row>
    <row r="938" ht="12.75" customHeight="1">
      <c r="B938" s="2"/>
      <c r="C938" s="3"/>
    </row>
    <row r="939" ht="12.75" customHeight="1">
      <c r="B939" s="2"/>
      <c r="C939" s="3"/>
    </row>
    <row r="940" ht="12.75" customHeight="1">
      <c r="B940" s="2"/>
      <c r="C940" s="3"/>
    </row>
    <row r="941" ht="12.75" customHeight="1">
      <c r="B941" s="2"/>
      <c r="C941" s="3"/>
    </row>
    <row r="942" ht="12.75" customHeight="1">
      <c r="B942" s="2"/>
      <c r="C942" s="3"/>
    </row>
    <row r="943" ht="12.75" customHeight="1">
      <c r="B943" s="2"/>
      <c r="C943" s="3"/>
    </row>
    <row r="944" ht="12.75" customHeight="1">
      <c r="B944" s="2"/>
      <c r="C944" s="3"/>
    </row>
    <row r="945" ht="12.75" customHeight="1">
      <c r="B945" s="2"/>
      <c r="C945" s="3"/>
    </row>
    <row r="946" ht="12.75" customHeight="1">
      <c r="B946" s="2"/>
      <c r="C946" s="3"/>
    </row>
    <row r="947" ht="12.75" customHeight="1">
      <c r="B947" s="2"/>
      <c r="C947" s="3"/>
    </row>
    <row r="948" ht="12.75" customHeight="1">
      <c r="B948" s="2"/>
      <c r="C948" s="3"/>
    </row>
    <row r="949" ht="12.75" customHeight="1">
      <c r="B949" s="2"/>
      <c r="C949" s="3"/>
    </row>
    <row r="950" ht="12.75" customHeight="1">
      <c r="B950" s="2"/>
      <c r="C950" s="3"/>
    </row>
    <row r="951" ht="12.75" customHeight="1">
      <c r="B951" s="2"/>
      <c r="C951" s="3"/>
    </row>
    <row r="952" ht="12.75" customHeight="1">
      <c r="B952" s="2"/>
      <c r="C952" s="3"/>
    </row>
    <row r="953" ht="12.75" customHeight="1">
      <c r="B953" s="2"/>
      <c r="C953" s="3"/>
    </row>
    <row r="954" ht="12.75" customHeight="1">
      <c r="B954" s="2"/>
      <c r="C954" s="3"/>
    </row>
    <row r="955" ht="12.75" customHeight="1">
      <c r="B955" s="2"/>
      <c r="C955" s="3"/>
    </row>
    <row r="956" ht="12.75" customHeight="1">
      <c r="B956" s="2"/>
      <c r="C956" s="3"/>
    </row>
    <row r="957" ht="12.75" customHeight="1">
      <c r="B957" s="2"/>
      <c r="C957" s="3"/>
    </row>
    <row r="958" ht="12.75" customHeight="1">
      <c r="B958" s="2"/>
      <c r="C958" s="3"/>
    </row>
    <row r="959" ht="12.75" customHeight="1">
      <c r="B959" s="2"/>
      <c r="C959" s="3"/>
    </row>
    <row r="960" ht="12.75" customHeight="1">
      <c r="B960" s="2"/>
      <c r="C960" s="3"/>
    </row>
    <row r="961" ht="12.75" customHeight="1">
      <c r="B961" s="2"/>
      <c r="C961" s="3"/>
    </row>
    <row r="962" ht="12.75" customHeight="1">
      <c r="B962" s="2"/>
      <c r="C962" s="3"/>
    </row>
    <row r="963" ht="12.75" customHeight="1">
      <c r="B963" s="2"/>
      <c r="C963" s="3"/>
    </row>
    <row r="964" ht="12.75" customHeight="1">
      <c r="B964" s="2"/>
      <c r="C964" s="3"/>
    </row>
    <row r="965" ht="12.75" customHeight="1">
      <c r="B965" s="2"/>
      <c r="C965" s="3"/>
    </row>
    <row r="966" ht="12.75" customHeight="1">
      <c r="B966" s="2"/>
      <c r="C966" s="3"/>
    </row>
    <row r="967" ht="12.75" customHeight="1">
      <c r="B967" s="2"/>
      <c r="C967" s="3"/>
    </row>
    <row r="968" ht="12.75" customHeight="1">
      <c r="B968" s="2"/>
      <c r="C968" s="3"/>
    </row>
    <row r="969" ht="12.75" customHeight="1">
      <c r="B969" s="2"/>
      <c r="C969" s="3"/>
    </row>
    <row r="970" ht="12.75" customHeight="1">
      <c r="B970" s="2"/>
      <c r="C970" s="3"/>
    </row>
    <row r="971" ht="12.75" customHeight="1">
      <c r="B971" s="2"/>
      <c r="C971" s="3"/>
    </row>
    <row r="972" ht="12.75" customHeight="1">
      <c r="B972" s="2"/>
      <c r="C972" s="3"/>
    </row>
    <row r="973" ht="12.75" customHeight="1">
      <c r="B973" s="2"/>
      <c r="C973" s="3"/>
    </row>
    <row r="974" ht="12.75" customHeight="1">
      <c r="B974" s="2"/>
      <c r="C974" s="3"/>
    </row>
    <row r="975" ht="12.75" customHeight="1">
      <c r="B975" s="2"/>
      <c r="C975" s="3"/>
    </row>
    <row r="976" ht="12.75" customHeight="1">
      <c r="B976" s="2"/>
      <c r="C976" s="3"/>
    </row>
    <row r="977" ht="12.75" customHeight="1">
      <c r="B977" s="2"/>
      <c r="C977" s="3"/>
    </row>
    <row r="978" ht="12.75" customHeight="1">
      <c r="B978" s="2"/>
      <c r="C978" s="3"/>
    </row>
    <row r="979" ht="12.75" customHeight="1">
      <c r="B979" s="2"/>
      <c r="C979" s="3"/>
    </row>
    <row r="980" ht="12.75" customHeight="1">
      <c r="B980" s="2"/>
      <c r="C980" s="3"/>
    </row>
    <row r="981" ht="12.75" customHeight="1">
      <c r="B981" s="2"/>
      <c r="C981" s="3"/>
    </row>
    <row r="982" ht="12.75" customHeight="1">
      <c r="B982" s="2"/>
      <c r="C982" s="3"/>
    </row>
    <row r="983" ht="12.75" customHeight="1">
      <c r="B983" s="2"/>
      <c r="C983" s="3"/>
    </row>
    <row r="984" ht="12.75" customHeight="1">
      <c r="B984" s="2"/>
      <c r="C984" s="3"/>
    </row>
    <row r="985" ht="12.75" customHeight="1">
      <c r="B985" s="2"/>
      <c r="C985" s="3"/>
    </row>
    <row r="986" ht="12.75" customHeight="1">
      <c r="B986" s="2"/>
      <c r="C986" s="3"/>
    </row>
    <row r="987" ht="12.75" customHeight="1">
      <c r="B987" s="2"/>
      <c r="C987" s="3"/>
    </row>
    <row r="988" ht="12.75" customHeight="1">
      <c r="B988" s="2"/>
      <c r="C988" s="3"/>
    </row>
    <row r="989" ht="12.75" customHeight="1">
      <c r="B989" s="2"/>
      <c r="C989" s="3"/>
    </row>
    <row r="990" ht="12.75" customHeight="1">
      <c r="B990" s="2"/>
      <c r="C990" s="3"/>
    </row>
    <row r="991" ht="12.75" customHeight="1">
      <c r="B991" s="2"/>
      <c r="C991" s="3"/>
    </row>
    <row r="992" ht="12.75" customHeight="1">
      <c r="B992" s="2"/>
      <c r="C992" s="3"/>
    </row>
    <row r="993" ht="12.75" customHeight="1">
      <c r="B993" s="2"/>
      <c r="C993" s="3"/>
    </row>
    <row r="994" ht="12.75" customHeight="1">
      <c r="B994" s="2"/>
      <c r="C994" s="3"/>
    </row>
    <row r="995" ht="12.75" customHeight="1">
      <c r="B995" s="2"/>
      <c r="C995" s="3"/>
    </row>
    <row r="996" ht="12.75" customHeight="1">
      <c r="B996" s="2"/>
      <c r="C996" s="3"/>
    </row>
    <row r="997" ht="12.75" customHeight="1">
      <c r="B997" s="2"/>
      <c r="C997" s="3"/>
    </row>
    <row r="998" ht="12.75" customHeight="1">
      <c r="B998" s="2"/>
      <c r="C998" s="3"/>
    </row>
    <row r="999" ht="12.75" customHeight="1">
      <c r="B999" s="2"/>
      <c r="C999" s="3"/>
    </row>
    <row r="1000" ht="12.75" customHeight="1">
      <c r="B1000" s="2"/>
      <c r="C1000" s="3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</v>
      </c>
      <c r="H1" s="1" t="s">
        <v>2</v>
      </c>
      <c r="I1" s="1" t="s">
        <v>3</v>
      </c>
      <c r="J1" s="1"/>
      <c r="K1" s="1" t="s">
        <v>5</v>
      </c>
      <c r="L1" s="1" t="s">
        <v>1</v>
      </c>
      <c r="M1" s="1" t="s">
        <v>2</v>
      </c>
      <c r="N1" s="1" t="s">
        <v>3</v>
      </c>
      <c r="O1" s="1" t="s">
        <v>6</v>
      </c>
      <c r="Q1" s="1" t="s">
        <v>18</v>
      </c>
      <c r="R1" s="1"/>
    </row>
    <row r="2">
      <c r="A2" s="2" t="s">
        <v>7</v>
      </c>
      <c r="B2" s="13">
        <v>0.0</v>
      </c>
      <c r="C2" s="13">
        <v>67.2392425537109</v>
      </c>
      <c r="D2" s="3">
        <f t="shared" ref="D2:D30" si="1">SQRT((O3 - B2)^2 + (P3 - C2)^2)</f>
        <v>103.1951234</v>
      </c>
      <c r="F2" s="2" t="s">
        <v>7</v>
      </c>
      <c r="G2" s="13">
        <v>0.0</v>
      </c>
      <c r="H2" s="13">
        <v>123.492729187012</v>
      </c>
      <c r="I2" s="3">
        <f t="shared" ref="I2:I30" si="2">SQRT((O3 - G2)^2 + (P3 - H2)^2)</f>
        <v>71.1583653</v>
      </c>
      <c r="K2" s="2" t="s">
        <v>7</v>
      </c>
      <c r="L2" s="13">
        <v>0.0</v>
      </c>
      <c r="M2" s="11">
        <f>-88.8251571655274+360</f>
        <v>271.1748428</v>
      </c>
      <c r="N2" s="3">
        <f t="shared" ref="N2:N30" si="3">SQRT((O3 - L2)^2 + (P3 - M2)^2)</f>
        <v>143.237487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30</v>
      </c>
    </row>
    <row r="3">
      <c r="A3" s="2" t="s">
        <v>7</v>
      </c>
      <c r="B3" s="13">
        <v>71.0662536621094</v>
      </c>
      <c r="C3" s="11">
        <f>-139.030029296875+360</f>
        <v>220.9699707</v>
      </c>
      <c r="D3" s="3">
        <f t="shared" si="1"/>
        <v>158.3047316</v>
      </c>
      <c r="F3" s="2" t="s">
        <v>7</v>
      </c>
      <c r="G3" s="13">
        <v>-86.791862487793</v>
      </c>
      <c r="H3" s="13">
        <v>-22.9678382873535</v>
      </c>
      <c r="I3" s="3">
        <f t="shared" si="2"/>
        <v>169.0488769</v>
      </c>
      <c r="K3" s="2" t="s">
        <v>7</v>
      </c>
      <c r="L3" s="13">
        <v>91.0024642944336</v>
      </c>
      <c r="M3" s="13">
        <v>14.7712354660034</v>
      </c>
      <c r="N3" s="14">
        <f t="shared" si="3"/>
        <v>205.401015</v>
      </c>
      <c r="O3" s="15">
        <v>-67.82594108581544</v>
      </c>
      <c r="P3" s="15">
        <v>145.01375770568865</v>
      </c>
      <c r="Q3" s="8">
        <v>3.34883</v>
      </c>
      <c r="R3" s="8">
        <v>5.844</v>
      </c>
      <c r="S3" s="16">
        <v>6.73</v>
      </c>
    </row>
    <row r="4">
      <c r="A4" s="2" t="s">
        <v>10</v>
      </c>
      <c r="B4" s="13">
        <v>50.0285148620606</v>
      </c>
      <c r="C4" s="13">
        <v>45.6130790710449</v>
      </c>
      <c r="D4" s="3">
        <f t="shared" si="1"/>
        <v>154.1757688</v>
      </c>
      <c r="F4" s="2" t="s">
        <v>10</v>
      </c>
      <c r="G4" s="13">
        <v>58.5654830932617</v>
      </c>
      <c r="H4" s="13">
        <v>56.1162796020508</v>
      </c>
      <c r="I4" s="3">
        <f t="shared" si="2"/>
        <v>154.5236348</v>
      </c>
      <c r="K4" s="2" t="s">
        <v>10</v>
      </c>
      <c r="L4" s="13">
        <v>-102.512916564941</v>
      </c>
      <c r="M4" s="13">
        <v>135.736389160156</v>
      </c>
      <c r="N4" s="3">
        <f t="shared" si="3"/>
        <v>35.90620886</v>
      </c>
      <c r="O4" s="15">
        <v>-67.82594108581544</v>
      </c>
      <c r="P4" s="15">
        <v>145.01375770568865</v>
      </c>
    </row>
    <row r="5">
      <c r="A5" s="2" t="s">
        <v>7</v>
      </c>
      <c r="B5" s="13">
        <v>-95.2110137939453</v>
      </c>
      <c r="C5" s="11">
        <f>-166.289764404297+360</f>
        <v>193.7102356</v>
      </c>
      <c r="D5" s="3">
        <f t="shared" si="1"/>
        <v>55.86849887</v>
      </c>
      <c r="F5" s="2" t="s">
        <v>7</v>
      </c>
      <c r="G5" s="13">
        <v>-55.4995460510254</v>
      </c>
      <c r="H5" s="13">
        <v>175.680389404297</v>
      </c>
      <c r="I5" s="3">
        <f t="shared" si="2"/>
        <v>33.05120746</v>
      </c>
      <c r="K5" s="2" t="s">
        <v>7</v>
      </c>
      <c r="L5" s="13">
        <v>65.1617126464844</v>
      </c>
      <c r="M5" s="11">
        <f>-143.824615478516+360</f>
        <v>216.1753845</v>
      </c>
      <c r="N5" s="3">
        <f t="shared" si="3"/>
        <v>150.8300142</v>
      </c>
      <c r="O5" s="15">
        <v>-67.82594108581544</v>
      </c>
      <c r="P5" s="15">
        <v>145.01375770568865</v>
      </c>
    </row>
    <row r="6">
      <c r="A6" s="2" t="s">
        <v>7</v>
      </c>
      <c r="B6" s="13">
        <v>-60.0042037963867</v>
      </c>
      <c r="C6" s="13">
        <v>157.280288696289</v>
      </c>
      <c r="D6" s="3">
        <f t="shared" si="1"/>
        <v>14.54810492</v>
      </c>
      <c r="F6" s="2" t="s">
        <v>7</v>
      </c>
      <c r="G6" s="13">
        <v>-60.1408615112305</v>
      </c>
      <c r="H6" s="11">
        <f>-174.799591064453+360</f>
        <v>185.2004089</v>
      </c>
      <c r="I6" s="3">
        <f t="shared" si="2"/>
        <v>40.91487975</v>
      </c>
      <c r="K6" s="2" t="s">
        <v>7</v>
      </c>
      <c r="L6" s="13">
        <v>-51.9810752868652</v>
      </c>
      <c r="M6" s="13">
        <v>150.715469360352</v>
      </c>
      <c r="N6" s="3">
        <f t="shared" si="3"/>
        <v>16.83951567</v>
      </c>
      <c r="O6" s="15">
        <v>-67.8259410858154</v>
      </c>
      <c r="P6" s="15">
        <v>145.013757705689</v>
      </c>
    </row>
    <row r="7">
      <c r="A7" s="2" t="s">
        <v>7</v>
      </c>
      <c r="B7" s="13">
        <v>-71.1476898193359</v>
      </c>
      <c r="C7" s="13">
        <v>143.268737792969</v>
      </c>
      <c r="D7" s="3">
        <f t="shared" si="1"/>
        <v>3.752213899</v>
      </c>
      <c r="F7" s="2" t="s">
        <v>7</v>
      </c>
      <c r="G7" s="13">
        <v>-66.444465637207</v>
      </c>
      <c r="H7" s="13">
        <v>179.975723266602</v>
      </c>
      <c r="I7" s="3">
        <f t="shared" si="2"/>
        <v>34.9892485</v>
      </c>
      <c r="K7" s="2" t="s">
        <v>7</v>
      </c>
      <c r="L7" s="13">
        <v>-62.7472496032715</v>
      </c>
      <c r="M7" s="13">
        <v>174.346038818359</v>
      </c>
      <c r="N7" s="3">
        <f t="shared" si="3"/>
        <v>29.76870542</v>
      </c>
      <c r="O7" s="15">
        <v>-67.8259410858154</v>
      </c>
      <c r="P7" s="15">
        <v>145.013757705689</v>
      </c>
    </row>
    <row r="8">
      <c r="A8" s="2" t="s">
        <v>8</v>
      </c>
      <c r="B8" s="13">
        <v>-30.9069862365723</v>
      </c>
      <c r="C8" s="13">
        <v>145.790542602539</v>
      </c>
      <c r="D8" s="3">
        <f t="shared" si="1"/>
        <v>36.92712583</v>
      </c>
      <c r="F8" s="2" t="s">
        <v>8</v>
      </c>
      <c r="G8" s="13">
        <v>-56.0607986450195</v>
      </c>
      <c r="H8" s="13">
        <v>164.884124755859</v>
      </c>
      <c r="I8" s="3">
        <f t="shared" si="2"/>
        <v>23.09220785</v>
      </c>
      <c r="K8" s="2" t="s">
        <v>8</v>
      </c>
      <c r="L8" s="13">
        <v>-91.5241241455078</v>
      </c>
      <c r="M8" s="13">
        <v>148.592437744141</v>
      </c>
      <c r="N8" s="3">
        <f t="shared" si="3"/>
        <v>23.96686945</v>
      </c>
      <c r="O8" s="15">
        <v>-67.8259410858154</v>
      </c>
      <c r="P8" s="15">
        <v>145.013757705689</v>
      </c>
    </row>
    <row r="9">
      <c r="A9" s="2" t="s">
        <v>19</v>
      </c>
      <c r="B9" s="13">
        <v>-56.9078636169434</v>
      </c>
      <c r="C9" s="13">
        <v>134.846817016602</v>
      </c>
      <c r="D9" s="3">
        <f t="shared" si="1"/>
        <v>14.91881693</v>
      </c>
      <c r="F9" s="2" t="s">
        <v>19</v>
      </c>
      <c r="G9" s="13">
        <v>-57.8701095581055</v>
      </c>
      <c r="H9" s="13">
        <v>147.50764465332</v>
      </c>
      <c r="I9" s="3">
        <f t="shared" si="2"/>
        <v>10.26343283</v>
      </c>
      <c r="K9" s="2" t="s">
        <v>19</v>
      </c>
      <c r="L9" s="13">
        <v>-55.301815032959</v>
      </c>
      <c r="M9" s="13">
        <v>133.417785644531</v>
      </c>
      <c r="N9" s="3">
        <f t="shared" si="3"/>
        <v>17.06810773</v>
      </c>
      <c r="O9" s="15">
        <v>-67.8259410858154</v>
      </c>
      <c r="P9" s="15">
        <v>145.013757705689</v>
      </c>
    </row>
    <row r="10">
      <c r="A10" s="2" t="s">
        <v>7</v>
      </c>
      <c r="B10" s="13">
        <v>-49.8020210266113</v>
      </c>
      <c r="C10" s="13">
        <v>145.887847900391</v>
      </c>
      <c r="D10" s="3">
        <f t="shared" si="1"/>
        <v>18.0451026</v>
      </c>
      <c r="F10" s="2" t="s">
        <v>7</v>
      </c>
      <c r="G10" s="13">
        <v>-55.5677909851074</v>
      </c>
      <c r="H10" s="13">
        <v>155.461364746094</v>
      </c>
      <c r="I10" s="3">
        <f t="shared" si="2"/>
        <v>16.10635703</v>
      </c>
      <c r="K10" s="2" t="s">
        <v>7</v>
      </c>
      <c r="L10" s="13">
        <v>-60.899600982666</v>
      </c>
      <c r="M10" s="13">
        <v>171.476837158203</v>
      </c>
      <c r="N10" s="3">
        <f t="shared" si="3"/>
        <v>27.35450166</v>
      </c>
      <c r="O10" s="15">
        <v>-67.8259410858154</v>
      </c>
      <c r="P10" s="15">
        <v>145.013757705689</v>
      </c>
    </row>
    <row r="11">
      <c r="A11" s="2" t="s">
        <v>8</v>
      </c>
      <c r="B11" s="13">
        <v>-40.7205085754395</v>
      </c>
      <c r="C11" s="13">
        <v>144.677139282227</v>
      </c>
      <c r="D11" s="3">
        <f t="shared" si="1"/>
        <v>27.10752264</v>
      </c>
      <c r="F11" s="2" t="s">
        <v>8</v>
      </c>
      <c r="G11" s="13">
        <v>-39.3103179931641</v>
      </c>
      <c r="H11" s="13">
        <v>144.680114746094</v>
      </c>
      <c r="I11" s="3">
        <f t="shared" si="2"/>
        <v>28.5175749</v>
      </c>
      <c r="K11" s="2" t="s">
        <v>8</v>
      </c>
      <c r="L11" s="13">
        <v>-62.9654998779297</v>
      </c>
      <c r="M11" s="13">
        <v>144.591567993164</v>
      </c>
      <c r="N11" s="3">
        <f t="shared" si="3"/>
        <v>4.878742962</v>
      </c>
      <c r="O11" s="15">
        <v>-67.8259410858154</v>
      </c>
      <c r="P11" s="15">
        <v>145.013757705689</v>
      </c>
    </row>
    <row r="12">
      <c r="A12" s="2" t="s">
        <v>8</v>
      </c>
      <c r="B12" s="13">
        <v>-39.0815277099609</v>
      </c>
      <c r="C12" s="13">
        <v>127.520553588867</v>
      </c>
      <c r="D12" s="3">
        <f t="shared" si="1"/>
        <v>33.64897458</v>
      </c>
      <c r="F12" s="2" t="s">
        <v>8</v>
      </c>
      <c r="G12" s="13">
        <v>-53.4525337219238</v>
      </c>
      <c r="H12" s="13">
        <v>143.455444335938</v>
      </c>
      <c r="I12" s="3">
        <f t="shared" si="2"/>
        <v>14.45763396</v>
      </c>
      <c r="K12" s="2" t="s">
        <v>8</v>
      </c>
      <c r="L12" s="13">
        <v>-32.5486030578613</v>
      </c>
      <c r="M12" s="13">
        <v>127.974868774414</v>
      </c>
      <c r="N12" s="3">
        <f t="shared" si="3"/>
        <v>39.17670627</v>
      </c>
      <c r="O12" s="15">
        <v>-67.8259410858154</v>
      </c>
      <c r="P12" s="15">
        <v>145.013757705689</v>
      </c>
    </row>
    <row r="13">
      <c r="A13" s="2" t="s">
        <v>7</v>
      </c>
      <c r="B13" s="13">
        <v>-51.0008735656738</v>
      </c>
      <c r="C13" s="13">
        <v>170.218811035156</v>
      </c>
      <c r="D13" s="3">
        <f t="shared" si="1"/>
        <v>30.30474567</v>
      </c>
      <c r="F13" s="2" t="s">
        <v>7</v>
      </c>
      <c r="G13" s="13">
        <v>-67.9091415405273</v>
      </c>
      <c r="H13" s="11">
        <f>-169.637832641602+360</f>
        <v>190.3621674</v>
      </c>
      <c r="I13" s="3">
        <f t="shared" si="2"/>
        <v>45.34848598</v>
      </c>
      <c r="K13" s="2" t="s">
        <v>7</v>
      </c>
      <c r="L13" s="13">
        <v>-47.6014404296875</v>
      </c>
      <c r="M13" s="13">
        <v>173.143508911133</v>
      </c>
      <c r="N13" s="3">
        <f t="shared" si="3"/>
        <v>34.64553838</v>
      </c>
      <c r="O13" s="15">
        <v>-67.8259410858154</v>
      </c>
      <c r="P13" s="15">
        <v>145.013757705689</v>
      </c>
    </row>
    <row r="14">
      <c r="A14" s="2" t="s">
        <v>8</v>
      </c>
      <c r="B14" s="13">
        <v>-72.6367721557617</v>
      </c>
      <c r="C14" s="13">
        <v>147.80290222168</v>
      </c>
      <c r="D14" s="3">
        <f t="shared" si="1"/>
        <v>5.560883267</v>
      </c>
      <c r="F14" s="2" t="s">
        <v>8</v>
      </c>
      <c r="G14" s="13">
        <v>-83.728889465332</v>
      </c>
      <c r="H14" s="13">
        <v>169.587463378906</v>
      </c>
      <c r="I14" s="3">
        <f t="shared" si="2"/>
        <v>29.27064703</v>
      </c>
      <c r="K14" s="2" t="s">
        <v>8</v>
      </c>
      <c r="L14" s="13">
        <v>-57.4782409667969</v>
      </c>
      <c r="M14" s="13">
        <v>144.365753173828</v>
      </c>
      <c r="N14" s="3">
        <f t="shared" si="3"/>
        <v>10.36797028</v>
      </c>
      <c r="O14" s="15">
        <v>-67.8259410858154</v>
      </c>
      <c r="P14" s="15">
        <v>145.013757705689</v>
      </c>
    </row>
    <row r="15">
      <c r="A15" s="2" t="s">
        <v>8</v>
      </c>
      <c r="B15" s="13">
        <v>-28.4051704406738</v>
      </c>
      <c r="C15" s="13">
        <v>125.006332397461</v>
      </c>
      <c r="D15" s="3">
        <f t="shared" si="1"/>
        <v>44.20740012</v>
      </c>
      <c r="F15" s="2" t="s">
        <v>8</v>
      </c>
      <c r="G15" s="13">
        <v>-45.7387161254883</v>
      </c>
      <c r="H15" s="13">
        <v>149.668746948242</v>
      </c>
      <c r="I15" s="3">
        <f t="shared" si="2"/>
        <v>22.57242635</v>
      </c>
      <c r="K15" s="2" t="s">
        <v>8</v>
      </c>
      <c r="L15" s="13">
        <v>-45.9673690795898</v>
      </c>
      <c r="M15" s="13">
        <v>138.733505249023</v>
      </c>
      <c r="N15" s="3">
        <f t="shared" si="3"/>
        <v>22.74288331</v>
      </c>
      <c r="O15" s="15">
        <v>-67.8259410858154</v>
      </c>
      <c r="P15" s="15">
        <v>145.013757705689</v>
      </c>
    </row>
    <row r="16">
      <c r="A16" s="2" t="s">
        <v>7</v>
      </c>
      <c r="B16" s="13">
        <v>-62.3904991149902</v>
      </c>
      <c r="C16" s="13">
        <v>161.778717041016</v>
      </c>
      <c r="D16" s="3">
        <f t="shared" si="1"/>
        <v>17.62407135</v>
      </c>
      <c r="F16" s="2" t="s">
        <v>7</v>
      </c>
      <c r="G16" s="13">
        <v>-71.6326446533203</v>
      </c>
      <c r="H16" s="11">
        <f>-175.00358581543+360</f>
        <v>184.9964142</v>
      </c>
      <c r="I16" s="3">
        <f t="shared" si="2"/>
        <v>40.16346363</v>
      </c>
      <c r="K16" s="2" t="s">
        <v>7</v>
      </c>
      <c r="L16" s="13">
        <v>-59.0713539123535</v>
      </c>
      <c r="M16" s="13">
        <v>176.870071411133</v>
      </c>
      <c r="N16" s="3">
        <f t="shared" si="3"/>
        <v>33.0373655</v>
      </c>
      <c r="O16" s="15">
        <v>-67.8259410858154</v>
      </c>
      <c r="P16" s="15">
        <v>145.013757705689</v>
      </c>
    </row>
    <row r="17">
      <c r="A17" s="2" t="s">
        <v>31</v>
      </c>
      <c r="B17" s="13">
        <v>-57.020435333252</v>
      </c>
      <c r="C17" s="13">
        <v>131.632797241211</v>
      </c>
      <c r="D17" s="3">
        <f t="shared" si="1"/>
        <v>17.19910049</v>
      </c>
      <c r="F17" s="2" t="s">
        <v>31</v>
      </c>
      <c r="G17" s="13">
        <v>-78.2137832641602</v>
      </c>
      <c r="H17" s="13">
        <v>149.85758972168</v>
      </c>
      <c r="I17" s="3">
        <f t="shared" si="2"/>
        <v>11.46167412</v>
      </c>
      <c r="K17" s="2" t="s">
        <v>31</v>
      </c>
      <c r="L17" s="13">
        <v>-64.3429336547852</v>
      </c>
      <c r="M17" s="13">
        <v>139.66357421875</v>
      </c>
      <c r="N17" s="3">
        <f t="shared" si="3"/>
        <v>6.384027264</v>
      </c>
      <c r="O17" s="15">
        <v>-67.8259410858154</v>
      </c>
      <c r="P17" s="15">
        <v>145.013757705689</v>
      </c>
    </row>
    <row r="18">
      <c r="A18" s="2" t="s">
        <v>21</v>
      </c>
      <c r="B18" s="13">
        <v>-46.3763542175293</v>
      </c>
      <c r="C18" s="13">
        <v>145.147308349609</v>
      </c>
      <c r="D18" s="3">
        <f t="shared" si="1"/>
        <v>21.45000262</v>
      </c>
      <c r="F18" s="2" t="s">
        <v>21</v>
      </c>
      <c r="G18" s="13">
        <v>-38.8639144897461</v>
      </c>
      <c r="H18" s="13">
        <v>123.982963562012</v>
      </c>
      <c r="I18" s="3">
        <f t="shared" si="2"/>
        <v>35.79236353</v>
      </c>
      <c r="K18" s="2" t="s">
        <v>21</v>
      </c>
      <c r="L18" s="13">
        <v>-57.7748260498047</v>
      </c>
      <c r="M18" s="13">
        <v>131.843841552734</v>
      </c>
      <c r="N18" s="3">
        <f t="shared" si="3"/>
        <v>16.56718458</v>
      </c>
      <c r="O18" s="15">
        <v>-67.8259410858154</v>
      </c>
      <c r="P18" s="15">
        <v>145.013757705689</v>
      </c>
    </row>
    <row r="19">
      <c r="A19" s="2" t="s">
        <v>7</v>
      </c>
      <c r="B19" s="13">
        <v>-65.4904251098633</v>
      </c>
      <c r="C19" s="13">
        <v>158.05012512207</v>
      </c>
      <c r="D19" s="3">
        <f t="shared" si="1"/>
        <v>13.24392352</v>
      </c>
      <c r="F19" s="2" t="s">
        <v>7</v>
      </c>
      <c r="G19" s="13">
        <v>-50.8634033203125</v>
      </c>
      <c r="H19" s="13">
        <v>162.914459228516</v>
      </c>
      <c r="I19" s="3">
        <f t="shared" si="2"/>
        <v>24.66095705</v>
      </c>
      <c r="K19" s="2" t="s">
        <v>7</v>
      </c>
      <c r="L19" s="13">
        <v>-45.9391136169434</v>
      </c>
      <c r="M19" s="13">
        <v>157.111526489258</v>
      </c>
      <c r="N19" s="3">
        <f t="shared" si="3"/>
        <v>25.00778331</v>
      </c>
      <c r="O19" s="15">
        <v>-67.8259410858154</v>
      </c>
      <c r="P19" s="15">
        <v>145.013757705689</v>
      </c>
    </row>
    <row r="20">
      <c r="A20" s="2" t="s">
        <v>12</v>
      </c>
      <c r="B20" s="13">
        <v>-55.5162506103516</v>
      </c>
      <c r="C20" s="13">
        <v>145.221603393555</v>
      </c>
      <c r="D20" s="3">
        <f t="shared" si="1"/>
        <v>12.31144506</v>
      </c>
      <c r="F20" s="2" t="s">
        <v>12</v>
      </c>
      <c r="G20" s="13">
        <v>-69.1767883300781</v>
      </c>
      <c r="H20" s="13">
        <v>156.583953857422</v>
      </c>
      <c r="I20" s="3">
        <f t="shared" si="2"/>
        <v>11.64878651</v>
      </c>
      <c r="K20" s="2" t="s">
        <v>12</v>
      </c>
      <c r="L20" s="13">
        <v>-63.8043785095215</v>
      </c>
      <c r="M20" s="13">
        <v>146.958801269531</v>
      </c>
      <c r="N20" s="3">
        <f t="shared" si="3"/>
        <v>4.467231807</v>
      </c>
      <c r="O20" s="15">
        <v>-67.8259410858154</v>
      </c>
      <c r="P20" s="15">
        <v>145.013757705689</v>
      </c>
    </row>
    <row r="21">
      <c r="A21" s="2" t="s">
        <v>14</v>
      </c>
      <c r="B21" s="13">
        <v>-73.065544128418</v>
      </c>
      <c r="C21" s="13">
        <v>151.511688232422</v>
      </c>
      <c r="D21" s="3">
        <f t="shared" si="1"/>
        <v>8.347247521</v>
      </c>
      <c r="F21" s="2" t="s">
        <v>14</v>
      </c>
      <c r="G21" s="13">
        <v>-68.1147079467773</v>
      </c>
      <c r="H21" s="13">
        <v>141.189163208008</v>
      </c>
      <c r="I21" s="3">
        <f t="shared" si="2"/>
        <v>3.835480331</v>
      </c>
      <c r="K21" s="2" t="s">
        <v>14</v>
      </c>
      <c r="L21" s="13">
        <v>-67.0587615966797</v>
      </c>
      <c r="M21" s="13">
        <v>152.643585205078</v>
      </c>
      <c r="N21" s="3">
        <f t="shared" si="3"/>
        <v>7.668300466</v>
      </c>
      <c r="O21" s="15">
        <v>-67.8259410858154</v>
      </c>
      <c r="P21" s="15">
        <v>145.013757705689</v>
      </c>
    </row>
    <row r="22">
      <c r="A22" s="2" t="s">
        <v>7</v>
      </c>
      <c r="B22" s="13">
        <v>-65.3864822387695</v>
      </c>
      <c r="C22" s="13">
        <v>175.856140136719</v>
      </c>
      <c r="D22" s="3">
        <f t="shared" si="1"/>
        <v>30.93870575</v>
      </c>
      <c r="F22" s="2" t="s">
        <v>7</v>
      </c>
      <c r="G22" s="13">
        <v>-56.2531623840332</v>
      </c>
      <c r="H22" s="13">
        <v>164.07926940918</v>
      </c>
      <c r="I22" s="3">
        <f t="shared" si="2"/>
        <v>22.30298059</v>
      </c>
      <c r="K22" s="2" t="s">
        <v>7</v>
      </c>
      <c r="L22" s="13">
        <v>-65.490966796875</v>
      </c>
      <c r="M22" s="13">
        <v>173.528762817383</v>
      </c>
      <c r="N22" s="3">
        <f t="shared" si="3"/>
        <v>28.61044602</v>
      </c>
      <c r="O22" s="15">
        <v>-67.8259410858154</v>
      </c>
      <c r="P22" s="15">
        <v>145.013757705689</v>
      </c>
    </row>
    <row r="23">
      <c r="A23" s="2" t="s">
        <v>8</v>
      </c>
      <c r="B23" s="13">
        <v>-65.8835906982422</v>
      </c>
      <c r="C23" s="13">
        <v>153.908889770508</v>
      </c>
      <c r="D23" s="3">
        <f t="shared" si="1"/>
        <v>9.104729512</v>
      </c>
      <c r="F23" s="2" t="s">
        <v>8</v>
      </c>
      <c r="G23" s="13">
        <v>-61.381763458252</v>
      </c>
      <c r="H23" s="13">
        <v>146.777725219727</v>
      </c>
      <c r="I23" s="3">
        <f t="shared" si="2"/>
        <v>6.6812429</v>
      </c>
      <c r="K23" s="2" t="s">
        <v>8</v>
      </c>
      <c r="L23" s="13">
        <v>-87.7339096069336</v>
      </c>
      <c r="M23" s="13">
        <v>163.053100585938</v>
      </c>
      <c r="N23" s="3">
        <f t="shared" si="3"/>
        <v>26.86531411</v>
      </c>
      <c r="O23" s="15">
        <v>-67.8259410858154</v>
      </c>
      <c r="P23" s="15">
        <v>145.013757705689</v>
      </c>
    </row>
    <row r="24">
      <c r="A24" s="2" t="s">
        <v>8</v>
      </c>
      <c r="B24" s="13">
        <v>-53.3673515319824</v>
      </c>
      <c r="C24" s="13">
        <v>131.702850341797</v>
      </c>
      <c r="D24" s="3">
        <f t="shared" si="1"/>
        <v>19.65276232</v>
      </c>
      <c r="F24" s="2" t="s">
        <v>8</v>
      </c>
      <c r="G24" s="13">
        <v>-53.7030601501465</v>
      </c>
      <c r="H24" s="13">
        <v>150.398559570313</v>
      </c>
      <c r="I24" s="3">
        <f t="shared" si="2"/>
        <v>15.11462395</v>
      </c>
      <c r="K24" s="2" t="s">
        <v>8</v>
      </c>
      <c r="L24" s="13">
        <v>-36.9236030578613</v>
      </c>
      <c r="M24" s="13">
        <v>141.460021972656</v>
      </c>
      <c r="N24" s="3">
        <f t="shared" si="3"/>
        <v>31.10600478</v>
      </c>
      <c r="O24" s="15">
        <v>-67.8259410858154</v>
      </c>
      <c r="P24" s="15">
        <v>145.013757705689</v>
      </c>
    </row>
    <row r="25">
      <c r="A25" s="2" t="s">
        <v>7</v>
      </c>
      <c r="B25" s="13">
        <v>-57.3718109130859</v>
      </c>
      <c r="C25" s="13">
        <v>179.719604492188</v>
      </c>
      <c r="D25" s="3">
        <f t="shared" si="1"/>
        <v>36.24616723</v>
      </c>
      <c r="F25" s="2" t="s">
        <v>7</v>
      </c>
      <c r="G25" s="13">
        <v>-70.1108016967774</v>
      </c>
      <c r="H25" s="13">
        <v>178.106063842773</v>
      </c>
      <c r="I25" s="3">
        <f t="shared" si="2"/>
        <v>33.17109153</v>
      </c>
      <c r="K25" s="2" t="s">
        <v>7</v>
      </c>
      <c r="L25" s="13">
        <v>-49.9539489746094</v>
      </c>
      <c r="M25" s="13">
        <v>154.336929321289</v>
      </c>
      <c r="N25" s="3">
        <f t="shared" si="3"/>
        <v>20.15761968</v>
      </c>
      <c r="O25" s="15">
        <v>-67.8259410858154</v>
      </c>
      <c r="P25" s="15">
        <v>145.013757705689</v>
      </c>
    </row>
    <row r="26">
      <c r="A26" s="2" t="s">
        <v>8</v>
      </c>
      <c r="B26" s="13">
        <v>-58.3325729370117</v>
      </c>
      <c r="C26" s="13">
        <v>127.830657958984</v>
      </c>
      <c r="D26" s="3">
        <f t="shared" si="1"/>
        <v>19.63117306</v>
      </c>
      <c r="F26" s="2" t="s">
        <v>8</v>
      </c>
      <c r="G26" s="13">
        <v>-44.1348419189453</v>
      </c>
      <c r="H26" s="13">
        <v>128.747528076172</v>
      </c>
      <c r="I26" s="3">
        <f t="shared" si="2"/>
        <v>28.73775228</v>
      </c>
      <c r="K26" s="2" t="s">
        <v>8</v>
      </c>
      <c r="L26" s="13">
        <v>-36.1499214172363</v>
      </c>
      <c r="M26" s="13">
        <v>149.180969238281</v>
      </c>
      <c r="N26" s="3">
        <f t="shared" si="3"/>
        <v>31.94895732</v>
      </c>
      <c r="O26" s="15">
        <v>-67.8259410858154</v>
      </c>
      <c r="P26" s="15">
        <v>145.013757705689</v>
      </c>
    </row>
    <row r="27">
      <c r="A27" s="2" t="s">
        <v>8</v>
      </c>
      <c r="B27" s="13">
        <v>-35.4715690612793</v>
      </c>
      <c r="C27" s="13">
        <v>138.558624267578</v>
      </c>
      <c r="D27" s="3">
        <f t="shared" si="1"/>
        <v>32.99203141</v>
      </c>
      <c r="F27" s="2" t="s">
        <v>8</v>
      </c>
      <c r="G27" s="13">
        <v>-39.2928314208984</v>
      </c>
      <c r="H27" s="13">
        <v>133.156448364258</v>
      </c>
      <c r="I27" s="3">
        <f t="shared" si="2"/>
        <v>30.89877234</v>
      </c>
      <c r="K27" s="2" t="s">
        <v>8</v>
      </c>
      <c r="L27" s="13">
        <v>-38.1875877380371</v>
      </c>
      <c r="M27" s="13">
        <v>137.806716918945</v>
      </c>
      <c r="N27" s="3">
        <f t="shared" si="3"/>
        <v>30.50202331</v>
      </c>
      <c r="O27" s="15">
        <v>-67.8259410858154</v>
      </c>
      <c r="P27" s="15">
        <v>145.013757705689</v>
      </c>
    </row>
    <row r="28">
      <c r="A28" s="2" t="s">
        <v>7</v>
      </c>
      <c r="B28" s="13">
        <v>-69.300651550293</v>
      </c>
      <c r="C28" s="13">
        <v>179.322814941406</v>
      </c>
      <c r="D28" s="3">
        <f t="shared" si="1"/>
        <v>34.34073644</v>
      </c>
      <c r="F28" s="2" t="s">
        <v>7</v>
      </c>
      <c r="G28" s="13">
        <v>-65.2595596313477</v>
      </c>
      <c r="H28" s="11">
        <f>-178.386993408203+360</f>
        <v>181.6130066</v>
      </c>
      <c r="I28" s="3">
        <f t="shared" si="2"/>
        <v>36.68911736</v>
      </c>
      <c r="K28" s="2" t="s">
        <v>7</v>
      </c>
      <c r="L28" s="13">
        <v>-60.5938377380371</v>
      </c>
      <c r="M28" s="13">
        <v>158.028793334961</v>
      </c>
      <c r="N28" s="3">
        <f t="shared" si="3"/>
        <v>14.88940802</v>
      </c>
      <c r="O28" s="15">
        <v>-67.8259410858154</v>
      </c>
      <c r="P28" s="15">
        <v>145.013757705689</v>
      </c>
    </row>
    <row r="29">
      <c r="A29" s="2" t="s">
        <v>8</v>
      </c>
      <c r="B29" s="13">
        <v>-42.896728515625</v>
      </c>
      <c r="C29" s="13">
        <v>134.154312133789</v>
      </c>
      <c r="D29" s="3">
        <f t="shared" si="1"/>
        <v>27.19178548</v>
      </c>
      <c r="F29" s="2" t="s">
        <v>8</v>
      </c>
      <c r="G29" s="13">
        <v>-52.9356346130371</v>
      </c>
      <c r="H29" s="13">
        <v>150.691360473633</v>
      </c>
      <c r="I29" s="3">
        <f t="shared" si="2"/>
        <v>15.93600954</v>
      </c>
      <c r="K29" s="2" t="s">
        <v>8</v>
      </c>
      <c r="L29" s="13">
        <v>-44.3480644226074</v>
      </c>
      <c r="M29" s="13">
        <v>136.230270385742</v>
      </c>
      <c r="N29" s="3">
        <f t="shared" si="3"/>
        <v>25.06711675</v>
      </c>
      <c r="O29" s="15">
        <v>-67.8259410858154</v>
      </c>
      <c r="P29" s="15">
        <v>145.013757705689</v>
      </c>
    </row>
    <row r="30">
      <c r="A30" s="2" t="s">
        <v>19</v>
      </c>
      <c r="B30" s="13">
        <v>-53.4033813476563</v>
      </c>
      <c r="C30" s="13">
        <v>0.0</v>
      </c>
      <c r="D30" s="3">
        <f t="shared" si="1"/>
        <v>145.7292014</v>
      </c>
      <c r="F30" s="2" t="s">
        <v>19</v>
      </c>
      <c r="G30" s="13">
        <v>-70.2948379516602</v>
      </c>
      <c r="H30" s="13">
        <v>0.0</v>
      </c>
      <c r="I30" s="3">
        <f t="shared" si="2"/>
        <v>145.034773</v>
      </c>
      <c r="K30" s="2" t="s">
        <v>19</v>
      </c>
      <c r="L30" s="13">
        <v>-85.6164474487305</v>
      </c>
      <c r="M30" s="13">
        <v>0.0</v>
      </c>
      <c r="N30" s="3">
        <f t="shared" si="3"/>
        <v>146.1009652</v>
      </c>
      <c r="O30" s="15">
        <v>-67.8259410858154</v>
      </c>
      <c r="P30" s="15">
        <v>145.013757705689</v>
      </c>
    </row>
    <row r="31">
      <c r="O31" s="15">
        <v>-67.8259410858154</v>
      </c>
      <c r="P31" s="15">
        <v>145.013757705689</v>
      </c>
    </row>
    <row r="32">
      <c r="B32" s="1" t="s">
        <v>16</v>
      </c>
      <c r="F32" s="8" t="s">
        <v>17</v>
      </c>
      <c r="G32" s="8" t="s">
        <v>22</v>
      </c>
    </row>
    <row r="33">
      <c r="B33" s="2" t="s">
        <v>7</v>
      </c>
      <c r="C33" s="3">
        <f t="shared" ref="C33:C61" si="4">AVERAGE(D2,I2,N2)</f>
        <v>105.8636586</v>
      </c>
      <c r="F33" s="3">
        <f t="shared" ref="F33:F61" si="5">STDEV(D2,I2,N2)</f>
        <v>36.11358133</v>
      </c>
      <c r="G33" s="7">
        <f t="shared" ref="G33:G61" si="6">F33/SQRT(3)</f>
        <v>20.8501859</v>
      </c>
    </row>
    <row r="34">
      <c r="B34" s="2" t="s">
        <v>7</v>
      </c>
      <c r="C34" s="3">
        <f t="shared" si="4"/>
        <v>177.5848745</v>
      </c>
      <c r="F34" s="3">
        <f t="shared" si="5"/>
        <v>24.6812159</v>
      </c>
      <c r="G34" s="7">
        <f t="shared" si="6"/>
        <v>14.24970664</v>
      </c>
    </row>
    <row r="35">
      <c r="B35" s="2" t="s">
        <v>10</v>
      </c>
      <c r="C35" s="3">
        <f t="shared" si="4"/>
        <v>114.8685375</v>
      </c>
      <c r="F35" s="3">
        <f t="shared" si="5"/>
        <v>68.38360375</v>
      </c>
      <c r="G35" s="7">
        <f t="shared" si="6"/>
        <v>39.48129203</v>
      </c>
    </row>
    <row r="36">
      <c r="B36" s="2" t="s">
        <v>7</v>
      </c>
      <c r="C36" s="3">
        <f t="shared" si="4"/>
        <v>79.9165735</v>
      </c>
      <c r="F36" s="3">
        <f t="shared" si="5"/>
        <v>62.46354335</v>
      </c>
      <c r="G36" s="7">
        <f t="shared" si="6"/>
        <v>36.06334357</v>
      </c>
    </row>
    <row r="37">
      <c r="B37" s="2" t="s">
        <v>7</v>
      </c>
      <c r="C37" s="3">
        <f t="shared" si="4"/>
        <v>24.10083345</v>
      </c>
      <c r="F37" s="3">
        <f t="shared" si="5"/>
        <v>14.60639434</v>
      </c>
      <c r="G37" s="7">
        <f t="shared" si="6"/>
        <v>8.433005705</v>
      </c>
      <c r="K37" s="10">
        <v>-71.1476898193359</v>
      </c>
      <c r="L37" s="10">
        <v>143.268737792969</v>
      </c>
    </row>
    <row r="38">
      <c r="B38" s="2" t="s">
        <v>7</v>
      </c>
      <c r="C38" s="3">
        <f t="shared" si="4"/>
        <v>22.83672261</v>
      </c>
      <c r="F38" s="3">
        <f t="shared" si="5"/>
        <v>16.73252437</v>
      </c>
      <c r="G38" s="7">
        <f t="shared" si="6"/>
        <v>9.660527451</v>
      </c>
      <c r="K38" s="10">
        <v>-72.6367721557617</v>
      </c>
      <c r="L38" s="10">
        <v>147.80290222168</v>
      </c>
    </row>
    <row r="39">
      <c r="B39" s="2" t="s">
        <v>8</v>
      </c>
      <c r="C39" s="3">
        <f t="shared" si="4"/>
        <v>27.99540104</v>
      </c>
      <c r="F39" s="3">
        <f t="shared" si="5"/>
        <v>7.747453709</v>
      </c>
      <c r="G39" s="7">
        <f t="shared" si="6"/>
        <v>4.472994484</v>
      </c>
      <c r="K39" s="10">
        <v>-78.2137832641602</v>
      </c>
      <c r="L39" s="10">
        <v>149.85758972168</v>
      </c>
    </row>
    <row r="40">
      <c r="B40" s="2" t="s">
        <v>19</v>
      </c>
      <c r="C40" s="3">
        <f t="shared" si="4"/>
        <v>14.0834525</v>
      </c>
      <c r="F40" s="3">
        <f t="shared" si="5"/>
        <v>3.478401272</v>
      </c>
      <c r="G40" s="7">
        <f t="shared" si="6"/>
        <v>2.008255911</v>
      </c>
      <c r="K40" s="10">
        <v>-68.1147079467773</v>
      </c>
      <c r="L40" s="10">
        <v>141.189163208008</v>
      </c>
    </row>
    <row r="41">
      <c r="B41" s="2" t="s">
        <v>7</v>
      </c>
      <c r="C41" s="3">
        <f t="shared" si="4"/>
        <v>20.5019871</v>
      </c>
      <c r="F41" s="3">
        <f t="shared" si="5"/>
        <v>6.013102403</v>
      </c>
      <c r="G41" s="7">
        <f t="shared" si="6"/>
        <v>3.471666291</v>
      </c>
      <c r="K41" s="10">
        <v>-61.381763458252</v>
      </c>
      <c r="L41" s="10">
        <v>146.777725219727</v>
      </c>
    </row>
    <row r="42">
      <c r="B42" s="2" t="s">
        <v>8</v>
      </c>
      <c r="C42" s="3">
        <f t="shared" si="4"/>
        <v>20.16794683</v>
      </c>
      <c r="F42" s="3">
        <f t="shared" si="5"/>
        <v>13.2595957</v>
      </c>
      <c r="G42" s="7">
        <f t="shared" si="6"/>
        <v>7.655431146</v>
      </c>
      <c r="K42" s="10">
        <v>-62.9654998779297</v>
      </c>
      <c r="L42" s="10">
        <v>144.591567993164</v>
      </c>
    </row>
    <row r="43">
      <c r="B43" s="2" t="s">
        <v>8</v>
      </c>
      <c r="C43" s="3">
        <f t="shared" si="4"/>
        <v>29.09443827</v>
      </c>
      <c r="F43" s="3">
        <f t="shared" si="5"/>
        <v>12.97366505</v>
      </c>
      <c r="G43" s="7">
        <f t="shared" si="6"/>
        <v>7.490349007</v>
      </c>
      <c r="K43" s="10">
        <v>-64.3429336547852</v>
      </c>
      <c r="L43" s="10">
        <v>139.66357421875</v>
      </c>
    </row>
    <row r="44">
      <c r="B44" s="2" t="s">
        <v>7</v>
      </c>
      <c r="C44" s="3">
        <f t="shared" si="4"/>
        <v>36.76625668</v>
      </c>
      <c r="F44" s="3">
        <f t="shared" si="5"/>
        <v>7.742842833</v>
      </c>
      <c r="G44" s="7">
        <f t="shared" si="6"/>
        <v>4.470332394</v>
      </c>
      <c r="K44" s="10">
        <v>-63.8043785095215</v>
      </c>
      <c r="L44" s="10">
        <v>146.958801269531</v>
      </c>
    </row>
    <row r="45">
      <c r="B45" s="2" t="s">
        <v>8</v>
      </c>
      <c r="C45" s="3">
        <f t="shared" si="4"/>
        <v>15.06650019</v>
      </c>
      <c r="F45" s="3">
        <f t="shared" si="5"/>
        <v>12.53376887</v>
      </c>
      <c r="G45" s="7">
        <f t="shared" si="6"/>
        <v>7.236374828</v>
      </c>
      <c r="J45" s="8" t="s">
        <v>23</v>
      </c>
      <c r="K45" s="9">
        <f t="shared" ref="K45:L45" si="7">AVERAGE(K37:K44)</f>
        <v>-67.82594109</v>
      </c>
      <c r="L45" s="9">
        <f t="shared" si="7"/>
        <v>145.0137577</v>
      </c>
    </row>
    <row r="46">
      <c r="B46" s="2" t="s">
        <v>8</v>
      </c>
      <c r="C46" s="3">
        <f t="shared" si="4"/>
        <v>29.84090326</v>
      </c>
      <c r="F46" s="3">
        <f t="shared" si="5"/>
        <v>12.44204316</v>
      </c>
      <c r="G46" s="7">
        <f t="shared" si="6"/>
        <v>7.183416968</v>
      </c>
      <c r="J46" s="8" t="s">
        <v>24</v>
      </c>
      <c r="K46" s="9">
        <f t="shared" ref="K46:L46" si="8">STDEV(K37:K44)</f>
        <v>5.801777831</v>
      </c>
      <c r="L46" s="9">
        <f t="shared" si="8"/>
        <v>3.476700748</v>
      </c>
    </row>
    <row r="47">
      <c r="B47" s="2" t="s">
        <v>7</v>
      </c>
      <c r="C47" s="3">
        <f t="shared" si="4"/>
        <v>30.27496683</v>
      </c>
      <c r="F47" s="3">
        <f t="shared" si="5"/>
        <v>11.52081533</v>
      </c>
      <c r="G47" s="7">
        <f t="shared" si="6"/>
        <v>6.651545835</v>
      </c>
    </row>
    <row r="48">
      <c r="B48" s="2" t="s">
        <v>31</v>
      </c>
      <c r="C48" s="3">
        <f t="shared" si="4"/>
        <v>11.68160062</v>
      </c>
      <c r="F48" s="3">
        <f t="shared" si="5"/>
        <v>5.410889756</v>
      </c>
      <c r="G48" s="7">
        <f t="shared" si="6"/>
        <v>3.123978657</v>
      </c>
    </row>
    <row r="49">
      <c r="B49" s="2" t="s">
        <v>21</v>
      </c>
      <c r="C49" s="3">
        <f t="shared" si="4"/>
        <v>24.60318358</v>
      </c>
      <c r="F49" s="3">
        <f t="shared" si="5"/>
        <v>9.992936954</v>
      </c>
      <c r="G49" s="7">
        <f t="shared" si="6"/>
        <v>5.76942484</v>
      </c>
    </row>
    <row r="50">
      <c r="B50" s="2" t="s">
        <v>7</v>
      </c>
      <c r="C50" s="3">
        <f t="shared" si="4"/>
        <v>20.97088796</v>
      </c>
      <c r="F50" s="3">
        <f t="shared" si="5"/>
        <v>6.693994075</v>
      </c>
      <c r="G50" s="7">
        <f t="shared" si="6"/>
        <v>3.864779281</v>
      </c>
    </row>
    <row r="51">
      <c r="B51" s="2" t="s">
        <v>12</v>
      </c>
      <c r="C51" s="3">
        <f t="shared" si="4"/>
        <v>9.475821127</v>
      </c>
      <c r="F51" s="3">
        <f t="shared" si="5"/>
        <v>4.350201641</v>
      </c>
      <c r="G51" s="7">
        <f t="shared" si="6"/>
        <v>2.511590088</v>
      </c>
    </row>
    <row r="52">
      <c r="B52" s="2" t="s">
        <v>14</v>
      </c>
      <c r="C52" s="3">
        <f t="shared" si="4"/>
        <v>6.617009439</v>
      </c>
      <c r="F52" s="3">
        <f t="shared" si="5"/>
        <v>2.432677622</v>
      </c>
      <c r="G52" s="7">
        <f t="shared" si="6"/>
        <v>1.40450708</v>
      </c>
    </row>
    <row r="53">
      <c r="B53" s="2" t="s">
        <v>7</v>
      </c>
      <c r="C53" s="3">
        <f t="shared" si="4"/>
        <v>27.28404412</v>
      </c>
      <c r="F53" s="3">
        <f t="shared" si="5"/>
        <v>4.468046971</v>
      </c>
      <c r="G53" s="7">
        <f t="shared" si="6"/>
        <v>2.579628122</v>
      </c>
    </row>
    <row r="54">
      <c r="B54" s="2" t="s">
        <v>8</v>
      </c>
      <c r="C54" s="3">
        <f t="shared" si="4"/>
        <v>14.21709551</v>
      </c>
      <c r="F54" s="3">
        <f t="shared" si="5"/>
        <v>11.02049895</v>
      </c>
      <c r="G54" s="7">
        <f t="shared" si="6"/>
        <v>6.362688038</v>
      </c>
    </row>
    <row r="55">
      <c r="B55" s="2" t="s">
        <v>8</v>
      </c>
      <c r="C55" s="3">
        <f t="shared" si="4"/>
        <v>21.95779701</v>
      </c>
      <c r="F55" s="3">
        <f t="shared" si="5"/>
        <v>8.241113635</v>
      </c>
      <c r="G55" s="7">
        <f t="shared" si="6"/>
        <v>4.758009175</v>
      </c>
    </row>
    <row r="56">
      <c r="B56" s="2" t="s">
        <v>7</v>
      </c>
      <c r="C56" s="3">
        <f t="shared" si="4"/>
        <v>29.85829281</v>
      </c>
      <c r="F56" s="3">
        <f t="shared" si="5"/>
        <v>8.540568899</v>
      </c>
      <c r="G56" s="7">
        <f t="shared" si="6"/>
        <v>4.930899753</v>
      </c>
    </row>
    <row r="57">
      <c r="B57" s="2" t="s">
        <v>8</v>
      </c>
      <c r="C57" s="3">
        <f t="shared" si="4"/>
        <v>26.77262755</v>
      </c>
      <c r="F57" s="3">
        <f t="shared" si="5"/>
        <v>6.389697855</v>
      </c>
      <c r="G57" s="7">
        <f t="shared" si="6"/>
        <v>3.689093776</v>
      </c>
    </row>
    <row r="58">
      <c r="B58" s="2" t="s">
        <v>8</v>
      </c>
      <c r="C58" s="3">
        <f t="shared" si="4"/>
        <v>31.46427569</v>
      </c>
      <c r="F58" s="3">
        <f t="shared" si="5"/>
        <v>1.3378642</v>
      </c>
      <c r="G58" s="7">
        <f t="shared" si="6"/>
        <v>0.7724162559</v>
      </c>
    </row>
    <row r="59">
      <c r="B59" s="2" t="s">
        <v>7</v>
      </c>
      <c r="C59" s="3">
        <f t="shared" si="4"/>
        <v>28.63975394</v>
      </c>
      <c r="F59" s="3">
        <f t="shared" si="5"/>
        <v>11.96589875</v>
      </c>
      <c r="G59" s="7">
        <f t="shared" si="6"/>
        <v>6.908514865</v>
      </c>
    </row>
    <row r="60">
      <c r="B60" s="2" t="s">
        <v>8</v>
      </c>
      <c r="C60" s="3">
        <f t="shared" si="4"/>
        <v>22.73163726</v>
      </c>
      <c r="F60" s="3">
        <f t="shared" si="5"/>
        <v>5.9802986</v>
      </c>
      <c r="G60" s="7">
        <f t="shared" si="6"/>
        <v>3.452727007</v>
      </c>
    </row>
    <row r="61">
      <c r="B61" s="2" t="s">
        <v>19</v>
      </c>
      <c r="C61" s="3">
        <f t="shared" si="4"/>
        <v>145.6216466</v>
      </c>
      <c r="F61" s="3">
        <f t="shared" si="5"/>
        <v>0.5411723515</v>
      </c>
      <c r="G61" s="7">
        <f t="shared" si="6"/>
        <v>0.3124460028</v>
      </c>
    </row>
    <row r="62">
      <c r="F62" s="3"/>
      <c r="G62" s="7"/>
    </row>
    <row r="63">
      <c r="F63" s="3"/>
      <c r="G63" s="7"/>
    </row>
    <row r="64">
      <c r="C64" s="8" t="s">
        <v>25</v>
      </c>
      <c r="D64" s="8" t="s">
        <v>26</v>
      </c>
      <c r="E64" s="8" t="s">
        <v>32</v>
      </c>
      <c r="F64" s="3"/>
      <c r="G64" s="8" t="s">
        <v>28</v>
      </c>
      <c r="H64" s="8" t="s">
        <v>29</v>
      </c>
    </row>
    <row r="65">
      <c r="C65" s="8">
        <v>0.0</v>
      </c>
      <c r="D65" s="10">
        <v>0.0</v>
      </c>
      <c r="E65" s="7">
        <f>D65/D86</f>
        <v>0</v>
      </c>
      <c r="F65" s="3"/>
      <c r="G65" s="7">
        <f>SUMPRODUCT(C65:C85, E65:E85) / SUM(E65:E85)</f>
        <v>45.17241379</v>
      </c>
      <c r="H65" s="7">
        <f>SQRT(SUMPRODUCT(E65:E85, (C65:C85 - $G$65)^2) / SUM(E65:E85)
)</f>
        <v>40.98954363</v>
      </c>
    </row>
    <row r="66">
      <c r="C66" s="8">
        <v>10.0</v>
      </c>
      <c r="D66" s="10">
        <v>2.0</v>
      </c>
      <c r="E66" s="7">
        <f>D66/D86</f>
        <v>0.06896551724</v>
      </c>
      <c r="F66" s="3"/>
      <c r="G66" s="7"/>
    </row>
    <row r="67">
      <c r="C67" s="8">
        <v>20.0</v>
      </c>
      <c r="D67" s="10">
        <v>4.0</v>
      </c>
      <c r="E67" s="7">
        <f>D67/D86</f>
        <v>0.1379310345</v>
      </c>
      <c r="F67" s="3"/>
      <c r="G67" s="7"/>
    </row>
    <row r="68">
      <c r="C68" s="8">
        <v>30.0</v>
      </c>
      <c r="D68" s="10">
        <v>15.0</v>
      </c>
      <c r="E68" s="7">
        <f>D68/D86</f>
        <v>0.5172413793</v>
      </c>
      <c r="F68" s="3"/>
      <c r="G68" s="7"/>
    </row>
    <row r="69">
      <c r="C69" s="8">
        <v>40.0</v>
      </c>
      <c r="D69" s="10">
        <v>3.0</v>
      </c>
      <c r="E69" s="7">
        <f>D69/D86</f>
        <v>0.1034482759</v>
      </c>
      <c r="F69" s="3"/>
      <c r="G69" s="7"/>
    </row>
    <row r="70">
      <c r="C70" s="8">
        <v>50.0</v>
      </c>
      <c r="D70" s="10">
        <v>0.0</v>
      </c>
      <c r="E70" s="7">
        <f>D70/D86</f>
        <v>0</v>
      </c>
      <c r="F70" s="3"/>
      <c r="G70" s="7"/>
    </row>
    <row r="71">
      <c r="C71" s="8">
        <v>60.0</v>
      </c>
      <c r="D71" s="10">
        <v>0.0</v>
      </c>
      <c r="E71" s="7">
        <f>D71/D86</f>
        <v>0</v>
      </c>
    </row>
    <row r="72">
      <c r="C72" s="8">
        <v>70.0</v>
      </c>
      <c r="D72" s="10">
        <v>0.0</v>
      </c>
      <c r="E72" s="7">
        <f>D72/D86</f>
        <v>0</v>
      </c>
    </row>
    <row r="73">
      <c r="C73" s="8">
        <v>80.0</v>
      </c>
      <c r="D73" s="10">
        <v>1.0</v>
      </c>
      <c r="E73" s="7">
        <f>D73/D86</f>
        <v>0.03448275862</v>
      </c>
    </row>
    <row r="74">
      <c r="C74" s="8">
        <v>90.0</v>
      </c>
      <c r="D74" s="10">
        <v>0.0</v>
      </c>
      <c r="E74" s="7">
        <f>D74/D86</f>
        <v>0</v>
      </c>
    </row>
    <row r="75">
      <c r="C75" s="8">
        <v>100.0</v>
      </c>
      <c r="D75" s="10">
        <v>0.0</v>
      </c>
      <c r="E75" s="7">
        <f>D75/D86</f>
        <v>0</v>
      </c>
    </row>
    <row r="76">
      <c r="C76" s="8">
        <v>110.0</v>
      </c>
      <c r="D76" s="10">
        <v>1.0</v>
      </c>
      <c r="E76" s="7">
        <f>D76/D86</f>
        <v>0.03448275862</v>
      </c>
    </row>
    <row r="77">
      <c r="C77" s="8">
        <v>120.0</v>
      </c>
      <c r="D77" s="10">
        <v>1.0</v>
      </c>
      <c r="E77" s="7">
        <f>D77/D86</f>
        <v>0.03448275862</v>
      </c>
    </row>
    <row r="78">
      <c r="C78" s="8">
        <v>130.0</v>
      </c>
      <c r="D78" s="10">
        <v>0.0</v>
      </c>
      <c r="E78" s="7">
        <f>D78/D86</f>
        <v>0</v>
      </c>
    </row>
    <row r="79">
      <c r="C79" s="8">
        <v>140.0</v>
      </c>
      <c r="D79" s="10">
        <v>0.0</v>
      </c>
      <c r="E79" s="7">
        <f>D79/D86</f>
        <v>0</v>
      </c>
    </row>
    <row r="80">
      <c r="C80" s="8">
        <v>150.0</v>
      </c>
      <c r="D80" s="10">
        <v>1.0</v>
      </c>
      <c r="E80" s="7">
        <f>D80/D86</f>
        <v>0.03448275862</v>
      </c>
    </row>
    <row r="81">
      <c r="C81" s="8">
        <v>160.0</v>
      </c>
      <c r="D81" s="10">
        <v>0.0</v>
      </c>
      <c r="E81" s="7">
        <f>D81/D86</f>
        <v>0</v>
      </c>
    </row>
    <row r="82">
      <c r="C82" s="8">
        <v>170.0</v>
      </c>
      <c r="D82" s="10">
        <v>0.0</v>
      </c>
      <c r="E82" s="7">
        <f>D82/D86</f>
        <v>0</v>
      </c>
    </row>
    <row r="83">
      <c r="C83" s="8">
        <v>180.0</v>
      </c>
      <c r="D83" s="10">
        <v>1.0</v>
      </c>
      <c r="E83" s="7">
        <f>D83/D86</f>
        <v>0.03448275862</v>
      </c>
    </row>
    <row r="84">
      <c r="C84" s="8">
        <v>190.0</v>
      </c>
      <c r="D84" s="10">
        <v>0.0</v>
      </c>
      <c r="E84" s="7">
        <f>D84/D86</f>
        <v>0</v>
      </c>
    </row>
    <row r="85">
      <c r="C85" s="8">
        <v>200.0</v>
      </c>
      <c r="D85" s="10">
        <v>0.0</v>
      </c>
      <c r="E85" s="7">
        <f>D85/D86</f>
        <v>0</v>
      </c>
    </row>
    <row r="86">
      <c r="D86" s="8">
        <f t="shared" ref="D86:E86" si="9">SUM(D65:D85)</f>
        <v>29</v>
      </c>
      <c r="E86" s="9">
        <f t="shared" si="9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</v>
      </c>
      <c r="H1" s="1" t="s">
        <v>2</v>
      </c>
      <c r="I1" s="1" t="s">
        <v>3</v>
      </c>
      <c r="J1" s="1"/>
      <c r="K1" s="1" t="s">
        <v>5</v>
      </c>
      <c r="L1" s="1" t="s">
        <v>1</v>
      </c>
      <c r="M1" s="1" t="s">
        <v>2</v>
      </c>
      <c r="N1" s="1" t="s">
        <v>3</v>
      </c>
      <c r="O1" s="1" t="s">
        <v>6</v>
      </c>
      <c r="Q1" s="1" t="s">
        <v>18</v>
      </c>
      <c r="R1" s="1"/>
    </row>
    <row r="2">
      <c r="A2" s="2" t="s">
        <v>7</v>
      </c>
      <c r="B2" s="13">
        <v>0.0</v>
      </c>
      <c r="C2" s="11">
        <f>-66.2096328735352+360</f>
        <v>293.7903671</v>
      </c>
      <c r="D2" s="3">
        <f t="shared" ref="D2:D30" si="1">SQRT((O3 - B2)^2 + (P3 - C2)^2)</f>
        <v>163.5079136</v>
      </c>
      <c r="F2" s="2" t="s">
        <v>7</v>
      </c>
      <c r="G2" s="13">
        <v>0.0</v>
      </c>
      <c r="H2" s="13">
        <v>33.8709182739258</v>
      </c>
      <c r="I2" s="3">
        <f t="shared" ref="I2:I30" si="2">SQRT((O3 - G2)^2 + (P3 - H2)^2)</f>
        <v>130.2040285</v>
      </c>
      <c r="K2" s="2" t="s">
        <v>7</v>
      </c>
      <c r="L2" s="13">
        <v>0.0</v>
      </c>
      <c r="M2" s="11">
        <f>-82.5403747558594+360</f>
        <v>277.4596252</v>
      </c>
      <c r="N2" s="3">
        <f t="shared" ref="N2:N30" si="3">SQRT((O3 - L2)^2 + (P3 - M2)^2)</f>
        <v>148.8027759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30</v>
      </c>
    </row>
    <row r="3">
      <c r="A3" s="2" t="s">
        <v>7</v>
      </c>
      <c r="B3" s="13">
        <v>-82.3647155761719</v>
      </c>
      <c r="C3" s="13">
        <v>-16.5141487121582</v>
      </c>
      <c r="D3" s="3">
        <f t="shared" si="1"/>
        <v>162.1808883</v>
      </c>
      <c r="F3" s="2" t="s">
        <v>7</v>
      </c>
      <c r="G3" s="13">
        <v>71.5046157836914</v>
      </c>
      <c r="H3" s="13">
        <v>173.135116577148</v>
      </c>
      <c r="I3" s="3">
        <f t="shared" si="2"/>
        <v>142.1401242</v>
      </c>
      <c r="K3" s="2" t="s">
        <v>7</v>
      </c>
      <c r="L3" s="13">
        <v>39.667667388916</v>
      </c>
      <c r="M3" s="11">
        <f>-127.036071777344+360</f>
        <v>232.9639282</v>
      </c>
      <c r="N3" s="3">
        <f t="shared" si="3"/>
        <v>138.8888345</v>
      </c>
      <c r="O3" s="15">
        <v>-67.82594108581544</v>
      </c>
      <c r="P3" s="15">
        <v>145.01375770568865</v>
      </c>
      <c r="Q3" s="8">
        <v>3.34883</v>
      </c>
      <c r="R3" s="8">
        <v>5.844</v>
      </c>
      <c r="S3" s="16">
        <v>6.73</v>
      </c>
    </row>
    <row r="4">
      <c r="A4" s="2" t="s">
        <v>10</v>
      </c>
      <c r="B4" s="13">
        <v>-102.694412231445</v>
      </c>
      <c r="C4" s="13">
        <v>-5.09837961196899</v>
      </c>
      <c r="D4" s="3">
        <f t="shared" si="1"/>
        <v>154.1086112</v>
      </c>
      <c r="F4" s="2" t="s">
        <v>10</v>
      </c>
      <c r="G4" s="13">
        <v>-60.2479782104492</v>
      </c>
      <c r="H4" s="13">
        <v>138.146179199219</v>
      </c>
      <c r="I4" s="3">
        <f t="shared" si="2"/>
        <v>10.22688398</v>
      </c>
      <c r="K4" s="2" t="s">
        <v>10</v>
      </c>
      <c r="L4" s="13">
        <v>-116.642486572266</v>
      </c>
      <c r="M4" s="13">
        <v>9.53882789611816</v>
      </c>
      <c r="N4" s="3">
        <f t="shared" si="3"/>
        <v>144.0017768</v>
      </c>
      <c r="O4" s="15">
        <v>-67.82594108581544</v>
      </c>
      <c r="P4" s="15">
        <v>145.01375770568865</v>
      </c>
    </row>
    <row r="5">
      <c r="A5" s="2" t="s">
        <v>7</v>
      </c>
      <c r="B5" s="13">
        <v>-66.9058685302734</v>
      </c>
      <c r="C5" s="13">
        <v>158.959579467773</v>
      </c>
      <c r="D5" s="3">
        <f t="shared" si="1"/>
        <v>13.9761396</v>
      </c>
      <c r="F5" s="2" t="s">
        <v>7</v>
      </c>
      <c r="G5" s="13">
        <v>-65.8296966552734</v>
      </c>
      <c r="H5" s="13">
        <v>174.63232421875</v>
      </c>
      <c r="I5" s="3">
        <f t="shared" si="2"/>
        <v>29.68576214</v>
      </c>
      <c r="K5" s="2" t="s">
        <v>7</v>
      </c>
      <c r="L5" s="13">
        <v>89.9730987548828</v>
      </c>
      <c r="M5" s="11">
        <f>-168.32861328125+360</f>
        <v>191.6713867</v>
      </c>
      <c r="N5" s="3">
        <f t="shared" si="3"/>
        <v>164.5523361</v>
      </c>
      <c r="O5" s="15">
        <v>-67.82594108581544</v>
      </c>
      <c r="P5" s="15">
        <v>145.01375770568865</v>
      </c>
    </row>
    <row r="6">
      <c r="A6" s="2" t="s">
        <v>7</v>
      </c>
      <c r="B6" s="13">
        <v>-45.9344787597656</v>
      </c>
      <c r="C6" s="13">
        <v>128.66015625</v>
      </c>
      <c r="D6" s="3">
        <f t="shared" si="1"/>
        <v>27.3253802</v>
      </c>
      <c r="F6" s="2" t="s">
        <v>7</v>
      </c>
      <c r="G6" s="13">
        <v>-77.926155090332</v>
      </c>
      <c r="H6" s="13">
        <v>-9.22398090362549</v>
      </c>
      <c r="I6" s="3">
        <f t="shared" si="2"/>
        <v>154.5680896</v>
      </c>
      <c r="K6" s="2" t="s">
        <v>7</v>
      </c>
      <c r="L6" s="13">
        <v>62.024299621582</v>
      </c>
      <c r="M6" s="13">
        <v>167.59602355957</v>
      </c>
      <c r="N6" s="3">
        <f t="shared" si="3"/>
        <v>131.7992555</v>
      </c>
      <c r="O6" s="15">
        <v>-67.8259410858154</v>
      </c>
      <c r="P6" s="15">
        <v>145.013757705689</v>
      </c>
    </row>
    <row r="7">
      <c r="A7" s="2" t="s">
        <v>7</v>
      </c>
      <c r="B7" s="13">
        <v>-57.9372215270996</v>
      </c>
      <c r="C7" s="13">
        <v>155.824569702148</v>
      </c>
      <c r="D7" s="3">
        <f t="shared" si="1"/>
        <v>14.6512945</v>
      </c>
      <c r="F7" s="2" t="s">
        <v>7</v>
      </c>
      <c r="G7" s="13">
        <v>-64.5078201293945</v>
      </c>
      <c r="H7" s="11">
        <f>-175.536483764648+360</f>
        <v>184.4635162</v>
      </c>
      <c r="I7" s="3">
        <f t="shared" si="2"/>
        <v>39.58905625</v>
      </c>
      <c r="K7" s="2" t="s">
        <v>7</v>
      </c>
      <c r="L7" s="13">
        <v>-66.801643371582</v>
      </c>
      <c r="M7" s="13">
        <v>175.415451049805</v>
      </c>
      <c r="N7" s="3">
        <f t="shared" si="3"/>
        <v>30.41894383</v>
      </c>
      <c r="O7" s="15">
        <v>-67.8259410858154</v>
      </c>
      <c r="P7" s="15">
        <v>145.013757705689</v>
      </c>
    </row>
    <row r="8">
      <c r="A8" s="2" t="s">
        <v>8</v>
      </c>
      <c r="B8" s="13">
        <v>-51.388557434082</v>
      </c>
      <c r="C8" s="13">
        <v>132.100677490234</v>
      </c>
      <c r="D8" s="3">
        <f t="shared" si="1"/>
        <v>20.90299553</v>
      </c>
      <c r="F8" s="2" t="s">
        <v>8</v>
      </c>
      <c r="G8" s="13">
        <v>-55.4748878479004</v>
      </c>
      <c r="H8" s="13">
        <v>140.031967163086</v>
      </c>
      <c r="I8" s="3">
        <f t="shared" si="2"/>
        <v>13.31791099</v>
      </c>
      <c r="K8" s="2" t="s">
        <v>8</v>
      </c>
      <c r="L8" s="13">
        <v>-53.8924026489258</v>
      </c>
      <c r="M8" s="13">
        <v>156.519836425781</v>
      </c>
      <c r="N8" s="3">
        <f t="shared" si="3"/>
        <v>18.07023356</v>
      </c>
      <c r="O8" s="15">
        <v>-67.8259410858154</v>
      </c>
      <c r="P8" s="15">
        <v>145.013757705689</v>
      </c>
    </row>
    <row r="9">
      <c r="A9" s="2" t="s">
        <v>19</v>
      </c>
      <c r="B9" s="13">
        <v>-45.3486518859863</v>
      </c>
      <c r="C9" s="13">
        <v>127.801704406738</v>
      </c>
      <c r="D9" s="3">
        <f t="shared" si="1"/>
        <v>28.31048054</v>
      </c>
      <c r="F9" s="2" t="s">
        <v>19</v>
      </c>
      <c r="G9" s="13">
        <v>-56.8468856811523</v>
      </c>
      <c r="H9" s="13">
        <v>126.873359680176</v>
      </c>
      <c r="I9" s="3">
        <f t="shared" si="2"/>
        <v>21.20409626</v>
      </c>
      <c r="K9" s="2" t="s">
        <v>19</v>
      </c>
      <c r="L9" s="13">
        <v>-74.8057708740234</v>
      </c>
      <c r="M9" s="13">
        <v>134.326309204102</v>
      </c>
      <c r="N9" s="3">
        <f t="shared" si="3"/>
        <v>12.76477886</v>
      </c>
      <c r="O9" s="15">
        <v>-67.8259410858154</v>
      </c>
      <c r="P9" s="15">
        <v>145.013757705689</v>
      </c>
    </row>
    <row r="10">
      <c r="A10" s="2" t="s">
        <v>7</v>
      </c>
      <c r="B10" s="13">
        <v>-44.4606399536133</v>
      </c>
      <c r="C10" s="13">
        <v>157.81103515625</v>
      </c>
      <c r="D10" s="3">
        <f t="shared" si="1"/>
        <v>26.64033797</v>
      </c>
      <c r="F10" s="2" t="s">
        <v>7</v>
      </c>
      <c r="G10" s="13">
        <v>-59.7239036560059</v>
      </c>
      <c r="H10" s="13">
        <v>160.246139526367</v>
      </c>
      <c r="I10" s="3">
        <f t="shared" si="2"/>
        <v>17.25307122</v>
      </c>
      <c r="K10" s="2" t="s">
        <v>7</v>
      </c>
      <c r="L10" s="13">
        <v>-54.3135604858398</v>
      </c>
      <c r="M10" s="13">
        <v>176.937057495117</v>
      </c>
      <c r="N10" s="3">
        <f t="shared" si="3"/>
        <v>34.665278</v>
      </c>
      <c r="O10" s="15">
        <v>-67.8259410858154</v>
      </c>
      <c r="P10" s="15">
        <v>145.013757705689</v>
      </c>
    </row>
    <row r="11">
      <c r="A11" s="2" t="s">
        <v>8</v>
      </c>
      <c r="B11" s="13">
        <v>-48.4384689331055</v>
      </c>
      <c r="C11" s="13">
        <v>143.078872680664</v>
      </c>
      <c r="D11" s="3">
        <f t="shared" si="1"/>
        <v>19.48378445</v>
      </c>
      <c r="F11" s="2" t="s">
        <v>8</v>
      </c>
      <c r="G11" s="13">
        <v>-43.5082664489746</v>
      </c>
      <c r="H11" s="13">
        <v>144.67057800293</v>
      </c>
      <c r="I11" s="3">
        <f t="shared" si="2"/>
        <v>24.32009605</v>
      </c>
      <c r="K11" s="2" t="s">
        <v>8</v>
      </c>
      <c r="L11" s="13">
        <v>-61.3983612060547</v>
      </c>
      <c r="M11" s="13">
        <v>146.024063110352</v>
      </c>
      <c r="N11" s="3">
        <f t="shared" si="3"/>
        <v>6.506496763</v>
      </c>
      <c r="O11" s="15">
        <v>-67.8259410858154</v>
      </c>
      <c r="P11" s="15">
        <v>145.013757705689</v>
      </c>
    </row>
    <row r="12">
      <c r="A12" s="2" t="s">
        <v>8</v>
      </c>
      <c r="B12" s="13">
        <v>-53.5683479309082</v>
      </c>
      <c r="C12" s="13">
        <v>137.060424804688</v>
      </c>
      <c r="D12" s="3">
        <f t="shared" si="1"/>
        <v>16.32588334</v>
      </c>
      <c r="F12" s="2" t="s">
        <v>8</v>
      </c>
      <c r="G12" s="13">
        <v>-61.1634368896484</v>
      </c>
      <c r="H12" s="13">
        <v>132.626922607422</v>
      </c>
      <c r="I12" s="3">
        <f t="shared" si="2"/>
        <v>14.06494386</v>
      </c>
      <c r="K12" s="2" t="s">
        <v>8</v>
      </c>
      <c r="L12" s="13">
        <v>-38.3986968994141</v>
      </c>
      <c r="M12" s="13">
        <v>122.169326782227</v>
      </c>
      <c r="N12" s="3">
        <f t="shared" si="3"/>
        <v>37.25360016</v>
      </c>
      <c r="O12" s="15">
        <v>-67.8259410858154</v>
      </c>
      <c r="P12" s="15">
        <v>145.013757705689</v>
      </c>
    </row>
    <row r="13">
      <c r="A13" s="2" t="s">
        <v>7</v>
      </c>
      <c r="B13" s="13">
        <v>-71.5721130371094</v>
      </c>
      <c r="C13" s="11">
        <f>-167.948760986328+360</f>
        <v>192.051239</v>
      </c>
      <c r="D13" s="3">
        <f t="shared" si="1"/>
        <v>47.18642233</v>
      </c>
      <c r="F13" s="2" t="s">
        <v>7</v>
      </c>
      <c r="G13" s="13">
        <v>-52.8400268554688</v>
      </c>
      <c r="H13" s="13">
        <v>156.994720458984</v>
      </c>
      <c r="I13" s="3">
        <f t="shared" si="2"/>
        <v>19.18648206</v>
      </c>
      <c r="K13" s="2" t="s">
        <v>7</v>
      </c>
      <c r="L13" s="13">
        <v>-60.9809455871582</v>
      </c>
      <c r="M13" s="11">
        <f>-179.873245239258+360</f>
        <v>180.1267548</v>
      </c>
      <c r="N13" s="3">
        <f t="shared" si="3"/>
        <v>35.77396435</v>
      </c>
      <c r="O13" s="15">
        <v>-67.8259410858154</v>
      </c>
      <c r="P13" s="15">
        <v>145.013757705689</v>
      </c>
    </row>
    <row r="14">
      <c r="A14" s="2" t="s">
        <v>8</v>
      </c>
      <c r="B14" s="13">
        <v>-65.5996017456055</v>
      </c>
      <c r="C14" s="13">
        <v>154.276870727539</v>
      </c>
      <c r="D14" s="3">
        <f t="shared" si="1"/>
        <v>9.52690137</v>
      </c>
      <c r="F14" s="2" t="s">
        <v>8</v>
      </c>
      <c r="G14" s="13">
        <v>-47.8723793029785</v>
      </c>
      <c r="H14" s="13">
        <v>161.183319091797</v>
      </c>
      <c r="I14" s="3">
        <f t="shared" si="2"/>
        <v>25.6826662</v>
      </c>
      <c r="K14" s="2" t="s">
        <v>8</v>
      </c>
      <c r="L14" s="13">
        <v>-43.7527351379395</v>
      </c>
      <c r="M14" s="13">
        <v>134.958343505859</v>
      </c>
      <c r="N14" s="3">
        <f t="shared" si="3"/>
        <v>26.08889801</v>
      </c>
      <c r="O14" s="15">
        <v>-67.8259410858154</v>
      </c>
      <c r="P14" s="15">
        <v>145.013757705689</v>
      </c>
    </row>
    <row r="15">
      <c r="A15" s="2" t="s">
        <v>8</v>
      </c>
      <c r="B15" s="13">
        <v>-67.7581329345703</v>
      </c>
      <c r="C15" s="13">
        <v>154.166152954102</v>
      </c>
      <c r="D15" s="3">
        <f t="shared" si="1"/>
        <v>9.152646433</v>
      </c>
      <c r="F15" s="2" t="s">
        <v>8</v>
      </c>
      <c r="G15" s="13">
        <v>-57.3634796142578</v>
      </c>
      <c r="H15" s="13">
        <v>140.676773071289</v>
      </c>
      <c r="I15" s="3">
        <f t="shared" si="2"/>
        <v>11.32574659</v>
      </c>
      <c r="K15" s="2" t="s">
        <v>8</v>
      </c>
      <c r="L15" s="13">
        <v>-47.7667236328125</v>
      </c>
      <c r="M15" s="13">
        <v>148.677551269531</v>
      </c>
      <c r="N15" s="3">
        <f t="shared" si="3"/>
        <v>20.39106638</v>
      </c>
      <c r="O15" s="15">
        <v>-67.8259410858154</v>
      </c>
      <c r="P15" s="15">
        <v>145.013757705689</v>
      </c>
    </row>
    <row r="16">
      <c r="A16" s="2" t="s">
        <v>7</v>
      </c>
      <c r="B16" s="13">
        <v>-57.4938735961914</v>
      </c>
      <c r="C16" s="13">
        <v>152.619750976563</v>
      </c>
      <c r="D16" s="3">
        <f t="shared" si="1"/>
        <v>12.82976041</v>
      </c>
      <c r="F16" s="2" t="s">
        <v>7</v>
      </c>
      <c r="G16" s="13">
        <v>-47.0824851989746</v>
      </c>
      <c r="H16" s="13">
        <v>165.891479492188</v>
      </c>
      <c r="I16" s="3">
        <f t="shared" si="2"/>
        <v>29.43077011</v>
      </c>
      <c r="K16" s="2" t="s">
        <v>7</v>
      </c>
      <c r="L16" s="13">
        <v>-63.2086753845215</v>
      </c>
      <c r="M16" s="13">
        <v>178.945358276367</v>
      </c>
      <c r="N16" s="3">
        <f t="shared" si="3"/>
        <v>34.24430843</v>
      </c>
      <c r="O16" s="15">
        <v>-67.8259410858154</v>
      </c>
      <c r="P16" s="15">
        <v>145.013757705689</v>
      </c>
    </row>
    <row r="17">
      <c r="A17" s="2" t="s">
        <v>31</v>
      </c>
      <c r="B17" s="13">
        <v>-50.1015472412109</v>
      </c>
      <c r="C17" s="13">
        <v>123.331497192383</v>
      </c>
      <c r="D17" s="3">
        <f t="shared" si="1"/>
        <v>28.00490239</v>
      </c>
      <c r="F17" s="2" t="s">
        <v>31</v>
      </c>
      <c r="G17" s="13">
        <v>-55.503116607666</v>
      </c>
      <c r="H17" s="13">
        <v>125.454513549805</v>
      </c>
      <c r="I17" s="3">
        <f t="shared" si="2"/>
        <v>23.11744006</v>
      </c>
      <c r="K17" s="2" t="s">
        <v>31</v>
      </c>
      <c r="L17" s="13">
        <v>-72.0628967285156</v>
      </c>
      <c r="M17" s="13">
        <v>134.671875</v>
      </c>
      <c r="N17" s="3">
        <f t="shared" si="3"/>
        <v>11.1761501</v>
      </c>
      <c r="O17" s="15">
        <v>-67.8259410858154</v>
      </c>
      <c r="P17" s="15">
        <v>145.013757705689</v>
      </c>
    </row>
    <row r="18">
      <c r="A18" s="2" t="s">
        <v>21</v>
      </c>
      <c r="B18" s="13">
        <v>-41.8860130310059</v>
      </c>
      <c r="C18" s="13">
        <v>143.072845458984</v>
      </c>
      <c r="D18" s="3">
        <f t="shared" si="1"/>
        <v>26.01243948</v>
      </c>
      <c r="F18" s="2" t="s">
        <v>21</v>
      </c>
      <c r="G18" s="13">
        <v>-35.3709983825684</v>
      </c>
      <c r="H18" s="13">
        <v>125.721672058105</v>
      </c>
      <c r="I18" s="3">
        <f t="shared" si="2"/>
        <v>37.75589854</v>
      </c>
      <c r="K18" s="2" t="s">
        <v>21</v>
      </c>
      <c r="L18" s="13">
        <v>-49.2792167663574</v>
      </c>
      <c r="M18" s="13">
        <v>144.63916015625</v>
      </c>
      <c r="N18" s="3">
        <f t="shared" si="3"/>
        <v>18.5505069</v>
      </c>
      <c r="O18" s="15">
        <v>-67.8259410858154</v>
      </c>
      <c r="P18" s="15">
        <v>145.013757705689</v>
      </c>
    </row>
    <row r="19">
      <c r="A19" s="2" t="s">
        <v>7</v>
      </c>
      <c r="B19" s="13">
        <v>-64.5545654296875</v>
      </c>
      <c r="C19" s="13">
        <v>166.637557983398</v>
      </c>
      <c r="D19" s="3">
        <f t="shared" si="1"/>
        <v>21.86985682</v>
      </c>
      <c r="F19" s="2" t="s">
        <v>7</v>
      </c>
      <c r="G19" s="13">
        <v>-44.7144813537598</v>
      </c>
      <c r="H19" s="13">
        <v>151.118804931641</v>
      </c>
      <c r="I19" s="3">
        <f t="shared" si="2"/>
        <v>23.90420826</v>
      </c>
      <c r="K19" s="2" t="s">
        <v>7</v>
      </c>
      <c r="L19" s="13">
        <v>-68.3239288330078</v>
      </c>
      <c r="M19" s="13">
        <v>144.909469604492</v>
      </c>
      <c r="N19" s="3">
        <f t="shared" si="3"/>
        <v>0.508790531</v>
      </c>
      <c r="O19" s="15">
        <v>-67.8259410858154</v>
      </c>
      <c r="P19" s="15">
        <v>145.013757705689</v>
      </c>
    </row>
    <row r="20">
      <c r="A20" s="2" t="s">
        <v>12</v>
      </c>
      <c r="B20" s="13">
        <v>-66.275146484375</v>
      </c>
      <c r="C20" s="13">
        <v>151.664688110352</v>
      </c>
      <c r="D20" s="3">
        <f t="shared" si="1"/>
        <v>6.829336655</v>
      </c>
      <c r="F20" s="2" t="s">
        <v>12</v>
      </c>
      <c r="G20" s="13">
        <v>-67.3935928344727</v>
      </c>
      <c r="H20" s="13">
        <v>134.927459716797</v>
      </c>
      <c r="I20" s="3">
        <f t="shared" si="2"/>
        <v>10.09556002</v>
      </c>
      <c r="K20" s="2" t="s">
        <v>12</v>
      </c>
      <c r="L20" s="13">
        <v>-64.9832153320313</v>
      </c>
      <c r="M20" s="13">
        <v>146.553085327148</v>
      </c>
      <c r="N20" s="3">
        <f t="shared" si="3"/>
        <v>3.232741752</v>
      </c>
      <c r="O20" s="15">
        <v>-67.8259410858154</v>
      </c>
      <c r="P20" s="15">
        <v>145.013757705689</v>
      </c>
    </row>
    <row r="21">
      <c r="A21" s="2" t="s">
        <v>14</v>
      </c>
      <c r="B21" s="13">
        <v>-61.4870910644531</v>
      </c>
      <c r="C21" s="13">
        <v>135.038116455078</v>
      </c>
      <c r="D21" s="3">
        <f t="shared" si="1"/>
        <v>11.81924016</v>
      </c>
      <c r="F21" s="2" t="s">
        <v>14</v>
      </c>
      <c r="G21" s="13">
        <v>-46.3478126525879</v>
      </c>
      <c r="H21" s="13">
        <v>129.833587646484</v>
      </c>
      <c r="I21" s="3">
        <f t="shared" si="2"/>
        <v>26.30109435</v>
      </c>
      <c r="K21" s="2" t="s">
        <v>14</v>
      </c>
      <c r="L21" s="13">
        <v>-60.1553459167481</v>
      </c>
      <c r="M21" s="13">
        <v>128.991943359375</v>
      </c>
      <c r="N21" s="3">
        <f t="shared" si="3"/>
        <v>17.76334893</v>
      </c>
      <c r="O21" s="15">
        <v>-67.8259410858154</v>
      </c>
      <c r="P21" s="15">
        <v>145.013757705689</v>
      </c>
    </row>
    <row r="22">
      <c r="A22" s="2" t="s">
        <v>7</v>
      </c>
      <c r="B22" s="13">
        <v>-54.587215423584</v>
      </c>
      <c r="C22" s="13">
        <v>158.286499023438</v>
      </c>
      <c r="D22" s="3">
        <f t="shared" si="1"/>
        <v>18.74645351</v>
      </c>
      <c r="F22" s="2" t="s">
        <v>7</v>
      </c>
      <c r="G22" s="13">
        <v>-61.738899230957</v>
      </c>
      <c r="H22" s="13">
        <v>170.037322998047</v>
      </c>
      <c r="I22" s="3">
        <f t="shared" si="2"/>
        <v>25.75326967</v>
      </c>
      <c r="K22" s="2" t="s">
        <v>7</v>
      </c>
      <c r="L22" s="13">
        <v>-56.7493362426758</v>
      </c>
      <c r="M22" s="13">
        <v>165.751800537109</v>
      </c>
      <c r="N22" s="3">
        <f t="shared" si="3"/>
        <v>23.51079742</v>
      </c>
      <c r="O22" s="15">
        <v>-67.8259410858154</v>
      </c>
      <c r="P22" s="15">
        <v>145.013757705689</v>
      </c>
    </row>
    <row r="23">
      <c r="A23" s="2" t="s">
        <v>8</v>
      </c>
      <c r="B23" s="13">
        <v>-75.1221160888672</v>
      </c>
      <c r="C23" s="13">
        <v>154.33821105957</v>
      </c>
      <c r="D23" s="3">
        <f t="shared" si="1"/>
        <v>11.83974662</v>
      </c>
      <c r="F23" s="2" t="s">
        <v>8</v>
      </c>
      <c r="G23" s="13">
        <v>-65.4049835205078</v>
      </c>
      <c r="H23" s="13">
        <v>144.533905029297</v>
      </c>
      <c r="I23" s="3">
        <f t="shared" si="2"/>
        <v>2.468054725</v>
      </c>
      <c r="K23" s="2" t="s">
        <v>8</v>
      </c>
      <c r="L23" s="13">
        <v>-56.5814552307129</v>
      </c>
      <c r="M23" s="13">
        <v>147.492050170898</v>
      </c>
      <c r="N23" s="3">
        <f t="shared" si="3"/>
        <v>11.51435607</v>
      </c>
      <c r="O23" s="15">
        <v>-67.8259410858154</v>
      </c>
      <c r="P23" s="15">
        <v>145.013757705689</v>
      </c>
    </row>
    <row r="24">
      <c r="A24" s="2" t="s">
        <v>8</v>
      </c>
      <c r="B24" s="13">
        <v>-38.9611206054687</v>
      </c>
      <c r="C24" s="13">
        <v>133.141311645508</v>
      </c>
      <c r="D24" s="3">
        <f t="shared" si="1"/>
        <v>31.21110118</v>
      </c>
      <c r="F24" s="2" t="s">
        <v>8</v>
      </c>
      <c r="G24" s="13">
        <v>-43.9782638549805</v>
      </c>
      <c r="H24" s="13">
        <v>149.039184570313</v>
      </c>
      <c r="I24" s="3">
        <f t="shared" si="2"/>
        <v>24.18503196</v>
      </c>
      <c r="K24" s="2" t="s">
        <v>8</v>
      </c>
      <c r="L24" s="13">
        <v>-42.0116348266602</v>
      </c>
      <c r="M24" s="13">
        <v>141.366760253906</v>
      </c>
      <c r="N24" s="3">
        <f t="shared" si="3"/>
        <v>26.07065396</v>
      </c>
      <c r="O24" s="15">
        <v>-67.8259410858154</v>
      </c>
      <c r="P24" s="15">
        <v>145.013757705689</v>
      </c>
    </row>
    <row r="25">
      <c r="A25" s="2" t="s">
        <v>7</v>
      </c>
      <c r="B25" s="13">
        <v>-50.9165306091309</v>
      </c>
      <c r="C25" s="13">
        <v>166.060623168945</v>
      </c>
      <c r="D25" s="3">
        <f t="shared" si="1"/>
        <v>26.99812417</v>
      </c>
      <c r="F25" s="2" t="s">
        <v>7</v>
      </c>
      <c r="G25" s="13">
        <v>-77.0620880126953</v>
      </c>
      <c r="H25" s="13">
        <v>163.822158813477</v>
      </c>
      <c r="I25" s="3">
        <f t="shared" si="2"/>
        <v>20.95381498</v>
      </c>
      <c r="K25" s="2" t="s">
        <v>7</v>
      </c>
      <c r="L25" s="13">
        <v>-52.7762603759766</v>
      </c>
      <c r="M25" s="13">
        <v>153.776718139648</v>
      </c>
      <c r="N25" s="3">
        <f t="shared" si="3"/>
        <v>17.41500402</v>
      </c>
      <c r="O25" s="15">
        <v>-67.8259410858154</v>
      </c>
      <c r="P25" s="15">
        <v>145.013757705689</v>
      </c>
    </row>
    <row r="26">
      <c r="A26" s="2" t="s">
        <v>8</v>
      </c>
      <c r="B26" s="13">
        <v>-58.7736396789551</v>
      </c>
      <c r="C26" s="13">
        <v>146.96923828125</v>
      </c>
      <c r="D26" s="3">
        <f t="shared" si="1"/>
        <v>9.261104958</v>
      </c>
      <c r="F26" s="2" t="s">
        <v>8</v>
      </c>
      <c r="G26" s="13">
        <v>-81.4513854980469</v>
      </c>
      <c r="H26" s="13">
        <v>144.763046264648</v>
      </c>
      <c r="I26" s="3">
        <f t="shared" si="2"/>
        <v>13.62775079</v>
      </c>
      <c r="K26" s="2" t="s">
        <v>8</v>
      </c>
      <c r="L26" s="13">
        <v>-41.6007957458496</v>
      </c>
      <c r="M26" s="13">
        <v>157.533950805664</v>
      </c>
      <c r="N26" s="3">
        <f t="shared" si="3"/>
        <v>29.06051416</v>
      </c>
      <c r="O26" s="15">
        <v>-67.8259410858154</v>
      </c>
      <c r="P26" s="15">
        <v>145.013757705689</v>
      </c>
    </row>
    <row r="27">
      <c r="A27" s="2" t="s">
        <v>8</v>
      </c>
      <c r="B27" s="13">
        <v>-84.2740097045899</v>
      </c>
      <c r="C27" s="13">
        <v>67.8348541259766</v>
      </c>
      <c r="D27" s="3">
        <f t="shared" si="1"/>
        <v>78.91211643</v>
      </c>
      <c r="F27" s="2" t="s">
        <v>8</v>
      </c>
      <c r="G27" s="13">
        <v>-57.0301513671875</v>
      </c>
      <c r="H27" s="13">
        <v>154.948013305664</v>
      </c>
      <c r="I27" s="3">
        <f t="shared" si="2"/>
        <v>14.67100917</v>
      </c>
      <c r="K27" s="2" t="s">
        <v>8</v>
      </c>
      <c r="L27" s="13">
        <v>-43.9401588439941</v>
      </c>
      <c r="M27" s="13">
        <v>163.605728149414</v>
      </c>
      <c r="N27" s="3">
        <f t="shared" si="3"/>
        <v>30.26866297</v>
      </c>
      <c r="O27" s="15">
        <v>-67.8259410858154</v>
      </c>
      <c r="P27" s="15">
        <v>145.013757705689</v>
      </c>
    </row>
    <row r="28">
      <c r="A28" s="2" t="s">
        <v>7</v>
      </c>
      <c r="B28" s="13">
        <v>-102.379089355469</v>
      </c>
      <c r="C28" s="13">
        <v>149.72200012207</v>
      </c>
      <c r="D28" s="3">
        <f t="shared" si="1"/>
        <v>34.87244761</v>
      </c>
      <c r="F28" s="2" t="s">
        <v>7</v>
      </c>
      <c r="G28" s="13">
        <v>-59.421443939209</v>
      </c>
      <c r="H28" s="13">
        <v>157.820678710938</v>
      </c>
      <c r="I28" s="3">
        <f t="shared" si="2"/>
        <v>15.31838105</v>
      </c>
      <c r="K28" s="2" t="s">
        <v>7</v>
      </c>
      <c r="L28" s="13">
        <v>-67.6350784301758</v>
      </c>
      <c r="M28" s="13">
        <v>154.687042236328</v>
      </c>
      <c r="N28" s="3">
        <f t="shared" si="3"/>
        <v>9.675167294</v>
      </c>
      <c r="O28" s="15">
        <v>-67.8259410858154</v>
      </c>
      <c r="P28" s="15">
        <v>145.013757705689</v>
      </c>
    </row>
    <row r="29">
      <c r="A29" s="2" t="s">
        <v>8</v>
      </c>
      <c r="B29" s="13">
        <v>-151.529479980469</v>
      </c>
      <c r="C29" s="13">
        <v>138.317581176758</v>
      </c>
      <c r="D29" s="3">
        <f t="shared" si="1"/>
        <v>83.97095452</v>
      </c>
      <c r="F29" s="2" t="s">
        <v>8</v>
      </c>
      <c r="G29" s="13">
        <v>-72.7625579833984</v>
      </c>
      <c r="H29" s="13">
        <v>149.907745361328</v>
      </c>
      <c r="I29" s="3">
        <f t="shared" si="2"/>
        <v>6.951352499</v>
      </c>
      <c r="K29" s="2" t="s">
        <v>8</v>
      </c>
      <c r="L29" s="13">
        <v>-107.52271270752</v>
      </c>
      <c r="M29" s="13">
        <v>107.642799377441</v>
      </c>
      <c r="N29" s="3">
        <f t="shared" si="3"/>
        <v>54.51992483</v>
      </c>
      <c r="O29" s="15">
        <v>-67.8259410858154</v>
      </c>
      <c r="P29" s="15">
        <v>145.013757705689</v>
      </c>
    </row>
    <row r="30">
      <c r="A30" s="2" t="s">
        <v>19</v>
      </c>
      <c r="B30" s="13">
        <v>-112.84806060791</v>
      </c>
      <c r="C30" s="13">
        <v>0.0</v>
      </c>
      <c r="D30" s="3">
        <f t="shared" si="1"/>
        <v>151.8419612</v>
      </c>
      <c r="F30" s="2" t="s">
        <v>19</v>
      </c>
      <c r="G30" s="13">
        <v>-127.247749328613</v>
      </c>
      <c r="H30" s="13">
        <v>0.0</v>
      </c>
      <c r="I30" s="3">
        <f t="shared" si="2"/>
        <v>156.7161167</v>
      </c>
      <c r="K30" s="2" t="s">
        <v>19</v>
      </c>
      <c r="L30" s="13">
        <v>-75.078727722168</v>
      </c>
      <c r="M30" s="13">
        <v>0.0</v>
      </c>
      <c r="N30" s="3">
        <f t="shared" si="3"/>
        <v>145.1950166</v>
      </c>
      <c r="O30" s="15">
        <v>-67.8259410858154</v>
      </c>
      <c r="P30" s="15">
        <v>145.013757705689</v>
      </c>
    </row>
    <row r="31">
      <c r="O31" s="15">
        <v>-67.8259410858154</v>
      </c>
      <c r="P31" s="15">
        <v>145.013757705689</v>
      </c>
    </row>
    <row r="32">
      <c r="B32" s="1" t="s">
        <v>16</v>
      </c>
      <c r="F32" s="8" t="s">
        <v>17</v>
      </c>
      <c r="G32" s="8" t="s">
        <v>22</v>
      </c>
    </row>
    <row r="33">
      <c r="B33" s="2" t="s">
        <v>7</v>
      </c>
      <c r="C33" s="3">
        <f t="shared" ref="C33:C61" si="4">AVERAGE(D2,I2,N2)</f>
        <v>147.504906</v>
      </c>
      <c r="F33" s="3">
        <f t="shared" ref="F33:F61" si="5">STDEV(D2,I2,N2)</f>
        <v>16.68983341</v>
      </c>
      <c r="G33" s="7">
        <f t="shared" ref="G33:G61" si="6">F33/SQRT(3)</f>
        <v>9.635879815</v>
      </c>
    </row>
    <row r="34">
      <c r="B34" s="2" t="s">
        <v>7</v>
      </c>
      <c r="C34" s="3">
        <f t="shared" si="4"/>
        <v>147.7366157</v>
      </c>
      <c r="F34" s="3">
        <f t="shared" si="5"/>
        <v>12.61429662</v>
      </c>
      <c r="G34" s="7">
        <f t="shared" si="6"/>
        <v>7.282867551</v>
      </c>
      <c r="K34" s="10">
        <v>-61.4870910644531</v>
      </c>
      <c r="L34" s="10">
        <v>135.038116455078</v>
      </c>
    </row>
    <row r="35">
      <c r="B35" s="2" t="s">
        <v>10</v>
      </c>
      <c r="C35" s="3">
        <f t="shared" si="4"/>
        <v>102.7790907</v>
      </c>
      <c r="F35" s="3">
        <f t="shared" si="5"/>
        <v>80.31170679</v>
      </c>
      <c r="G35" s="7">
        <f t="shared" si="6"/>
        <v>46.36798553</v>
      </c>
      <c r="K35" s="10">
        <v>-60.2479782104492</v>
      </c>
      <c r="L35" s="10">
        <v>138.146179199219</v>
      </c>
    </row>
    <row r="36">
      <c r="B36" s="2" t="s">
        <v>7</v>
      </c>
      <c r="C36" s="3">
        <f t="shared" si="4"/>
        <v>69.40474595</v>
      </c>
      <c r="F36" s="3">
        <f t="shared" si="5"/>
        <v>82.77376393</v>
      </c>
      <c r="G36" s="7">
        <f t="shared" si="6"/>
        <v>47.78945489</v>
      </c>
      <c r="K36" s="10">
        <v>-61.1634368896484</v>
      </c>
      <c r="L36" s="10">
        <v>132.626922607422</v>
      </c>
    </row>
    <row r="37">
      <c r="B37" s="2" t="s">
        <v>7</v>
      </c>
      <c r="C37" s="3">
        <f t="shared" si="4"/>
        <v>104.5642418</v>
      </c>
      <c r="F37" s="3">
        <f t="shared" si="5"/>
        <v>67.85268052</v>
      </c>
      <c r="G37" s="7">
        <f t="shared" si="6"/>
        <v>39.17476337</v>
      </c>
      <c r="K37" s="10">
        <v>-67.3935928344727</v>
      </c>
      <c r="L37" s="10">
        <v>134.927459716797</v>
      </c>
    </row>
    <row r="38">
      <c r="B38" s="2" t="s">
        <v>7</v>
      </c>
      <c r="C38" s="3">
        <f t="shared" si="4"/>
        <v>28.21976486</v>
      </c>
      <c r="F38" s="3">
        <f t="shared" si="5"/>
        <v>12.613496</v>
      </c>
      <c r="G38" s="7">
        <f t="shared" si="6"/>
        <v>7.282405312</v>
      </c>
      <c r="K38" s="10">
        <v>-65.4049835205078</v>
      </c>
      <c r="L38" s="10">
        <v>144.533905029297</v>
      </c>
    </row>
    <row r="39">
      <c r="B39" s="2" t="s">
        <v>8</v>
      </c>
      <c r="C39" s="3">
        <f t="shared" si="4"/>
        <v>17.43038002</v>
      </c>
      <c r="F39" s="3">
        <f t="shared" si="5"/>
        <v>3.832810492</v>
      </c>
      <c r="G39" s="7">
        <f t="shared" si="6"/>
        <v>2.21287417</v>
      </c>
      <c r="K39" s="10">
        <v>-72.7625579833984</v>
      </c>
      <c r="L39" s="10">
        <v>149.907745361328</v>
      </c>
    </row>
    <row r="40">
      <c r="B40" s="2" t="s">
        <v>19</v>
      </c>
      <c r="C40" s="3">
        <f t="shared" si="4"/>
        <v>20.75978522</v>
      </c>
      <c r="F40" s="3">
        <f t="shared" si="5"/>
        <v>7.782369139</v>
      </c>
      <c r="G40" s="7">
        <f t="shared" si="6"/>
        <v>4.493152918</v>
      </c>
      <c r="K40" s="10">
        <v>-74.8057708740234</v>
      </c>
      <c r="L40" s="10">
        <v>134.326309204102</v>
      </c>
    </row>
    <row r="41">
      <c r="B41" s="2" t="s">
        <v>7</v>
      </c>
      <c r="C41" s="3">
        <f t="shared" si="4"/>
        <v>26.18622906</v>
      </c>
      <c r="F41" s="3">
        <f t="shared" si="5"/>
        <v>8.714981207</v>
      </c>
      <c r="G41" s="7">
        <f t="shared" si="6"/>
        <v>5.031596746</v>
      </c>
      <c r="K41" s="10">
        <v>-61.3983612060547</v>
      </c>
      <c r="L41" s="10">
        <v>146.024063110352</v>
      </c>
    </row>
    <row r="42">
      <c r="B42" s="2" t="s">
        <v>8</v>
      </c>
      <c r="C42" s="3">
        <f t="shared" si="4"/>
        <v>16.77012576</v>
      </c>
      <c r="F42" s="3">
        <f t="shared" si="5"/>
        <v>9.211625131</v>
      </c>
      <c r="G42" s="7">
        <f t="shared" si="6"/>
        <v>5.318334249</v>
      </c>
      <c r="K42" s="10">
        <v>-72.0628967285156</v>
      </c>
      <c r="L42" s="10">
        <v>134.671875</v>
      </c>
    </row>
    <row r="43">
      <c r="B43" s="2" t="s">
        <v>8</v>
      </c>
      <c r="C43" s="3">
        <f t="shared" si="4"/>
        <v>22.54814245</v>
      </c>
      <c r="F43" s="3">
        <f t="shared" si="5"/>
        <v>12.78537549</v>
      </c>
      <c r="G43" s="7">
        <f t="shared" si="6"/>
        <v>7.381639983</v>
      </c>
      <c r="K43" s="10">
        <v>-68.3239288330078</v>
      </c>
      <c r="L43" s="10">
        <v>144.909469604492</v>
      </c>
    </row>
    <row r="44">
      <c r="B44" s="2" t="s">
        <v>7</v>
      </c>
      <c r="C44" s="3">
        <f t="shared" si="4"/>
        <v>34.04895625</v>
      </c>
      <c r="F44" s="3">
        <f t="shared" si="5"/>
        <v>14.07944969</v>
      </c>
      <c r="G44" s="7">
        <f t="shared" si="6"/>
        <v>8.128774067</v>
      </c>
      <c r="K44" s="10">
        <v>-64.9832153320313</v>
      </c>
      <c r="L44" s="10">
        <v>146.553085327148</v>
      </c>
    </row>
    <row r="45">
      <c r="B45" s="2" t="s">
        <v>8</v>
      </c>
      <c r="C45" s="3">
        <f t="shared" si="4"/>
        <v>20.43282186</v>
      </c>
      <c r="F45" s="3">
        <f t="shared" si="5"/>
        <v>9.446988006</v>
      </c>
      <c r="G45" s="7">
        <f t="shared" si="6"/>
        <v>5.454221068</v>
      </c>
      <c r="J45" s="8" t="s">
        <v>23</v>
      </c>
      <c r="K45" s="9">
        <f t="shared" ref="K45:L45" si="7">AVERAGE(K34:K44)</f>
        <v>-66.36671032</v>
      </c>
      <c r="L45" s="9">
        <f t="shared" si="7"/>
        <v>140.1513755</v>
      </c>
    </row>
    <row r="46">
      <c r="B46" s="2" t="s">
        <v>8</v>
      </c>
      <c r="C46" s="3">
        <f t="shared" si="4"/>
        <v>13.62315313</v>
      </c>
      <c r="F46" s="3">
        <f t="shared" si="5"/>
        <v>5.96104675</v>
      </c>
      <c r="G46" s="7">
        <f t="shared" si="6"/>
        <v>3.441611946</v>
      </c>
      <c r="J46" s="8" t="s">
        <v>24</v>
      </c>
      <c r="K46" s="9">
        <f t="shared" ref="K46:L46" si="8">STDEV(K34:K44)</f>
        <v>5.150761427</v>
      </c>
      <c r="L46" s="9">
        <f t="shared" si="8"/>
        <v>6.24925889</v>
      </c>
    </row>
    <row r="47">
      <c r="B47" s="2" t="s">
        <v>7</v>
      </c>
      <c r="C47" s="3">
        <f t="shared" si="4"/>
        <v>25.50161298</v>
      </c>
      <c r="F47" s="3">
        <f t="shared" si="5"/>
        <v>11.23496433</v>
      </c>
      <c r="G47" s="7">
        <f t="shared" si="6"/>
        <v>6.48650968</v>
      </c>
    </row>
    <row r="48">
      <c r="B48" s="2" t="s">
        <v>31</v>
      </c>
      <c r="C48" s="3">
        <f t="shared" si="4"/>
        <v>20.76616419</v>
      </c>
      <c r="F48" s="3">
        <f t="shared" si="5"/>
        <v>8.657257051</v>
      </c>
      <c r="G48" s="7">
        <f t="shared" si="6"/>
        <v>4.998269689</v>
      </c>
    </row>
    <row r="49">
      <c r="B49" s="2" t="s">
        <v>21</v>
      </c>
      <c r="C49" s="3">
        <f t="shared" si="4"/>
        <v>27.43961497</v>
      </c>
      <c r="F49" s="3">
        <f t="shared" si="5"/>
        <v>9.681910421</v>
      </c>
      <c r="G49" s="7">
        <f t="shared" si="6"/>
        <v>5.589853588</v>
      </c>
    </row>
    <row r="50">
      <c r="B50" s="2" t="s">
        <v>7</v>
      </c>
      <c r="C50" s="3">
        <f t="shared" si="4"/>
        <v>15.42761854</v>
      </c>
      <c r="F50" s="3">
        <f t="shared" si="5"/>
        <v>12.96006243</v>
      </c>
      <c r="G50" s="7">
        <f t="shared" si="6"/>
        <v>7.482495534</v>
      </c>
    </row>
    <row r="51">
      <c r="B51" s="2" t="s">
        <v>12</v>
      </c>
      <c r="C51" s="3">
        <f t="shared" si="4"/>
        <v>6.719212809</v>
      </c>
      <c r="F51" s="3">
        <f t="shared" si="5"/>
        <v>3.432734201</v>
      </c>
      <c r="G51" s="7">
        <f t="shared" si="6"/>
        <v>1.981890015</v>
      </c>
    </row>
    <row r="52">
      <c r="B52" s="2" t="s">
        <v>14</v>
      </c>
      <c r="C52" s="3">
        <f t="shared" si="4"/>
        <v>18.62789448</v>
      </c>
      <c r="F52" s="3">
        <f t="shared" si="5"/>
        <v>7.279533258</v>
      </c>
      <c r="G52" s="7">
        <f t="shared" si="6"/>
        <v>4.202840486</v>
      </c>
    </row>
    <row r="53">
      <c r="B53" s="2" t="s">
        <v>7</v>
      </c>
      <c r="C53" s="3">
        <f t="shared" si="4"/>
        <v>22.67017353</v>
      </c>
      <c r="F53" s="3">
        <f t="shared" si="5"/>
        <v>3.578247413</v>
      </c>
      <c r="G53" s="7">
        <f t="shared" si="6"/>
        <v>2.065902107</v>
      </c>
    </row>
    <row r="54">
      <c r="B54" s="2" t="s">
        <v>8</v>
      </c>
      <c r="C54" s="3">
        <f t="shared" si="4"/>
        <v>8.607385805</v>
      </c>
      <c r="F54" s="3">
        <f t="shared" si="5"/>
        <v>5.319305343</v>
      </c>
      <c r="G54" s="7">
        <f t="shared" si="6"/>
        <v>3.071102372</v>
      </c>
    </row>
    <row r="55">
      <c r="B55" s="2" t="s">
        <v>8</v>
      </c>
      <c r="C55" s="3">
        <f t="shared" si="4"/>
        <v>27.1555957</v>
      </c>
      <c r="F55" s="3">
        <f t="shared" si="5"/>
        <v>3.63651428</v>
      </c>
      <c r="G55" s="7">
        <f t="shared" si="6"/>
        <v>2.099542498</v>
      </c>
    </row>
    <row r="56">
      <c r="B56" s="2" t="s">
        <v>7</v>
      </c>
      <c r="C56" s="3">
        <f t="shared" si="4"/>
        <v>21.78898106</v>
      </c>
      <c r="F56" s="3">
        <f t="shared" si="5"/>
        <v>4.84584097</v>
      </c>
      <c r="G56" s="7">
        <f t="shared" si="6"/>
        <v>2.797747589</v>
      </c>
    </row>
    <row r="57">
      <c r="B57" s="2" t="s">
        <v>8</v>
      </c>
      <c r="C57" s="3">
        <f t="shared" si="4"/>
        <v>17.31645664</v>
      </c>
      <c r="F57" s="3">
        <f t="shared" si="5"/>
        <v>10.40235859</v>
      </c>
      <c r="G57" s="7">
        <f t="shared" si="6"/>
        <v>6.005804534</v>
      </c>
    </row>
    <row r="58">
      <c r="B58" s="2" t="s">
        <v>8</v>
      </c>
      <c r="C58" s="3">
        <f t="shared" si="4"/>
        <v>41.28392952</v>
      </c>
      <c r="F58" s="3">
        <f t="shared" si="5"/>
        <v>33.50719383</v>
      </c>
      <c r="G58" s="7">
        <f t="shared" si="6"/>
        <v>19.34538738</v>
      </c>
    </row>
    <row r="59">
      <c r="B59" s="2" t="s">
        <v>7</v>
      </c>
      <c r="C59" s="3">
        <f t="shared" si="4"/>
        <v>19.95533198</v>
      </c>
      <c r="F59" s="3">
        <f t="shared" si="5"/>
        <v>13.22315088</v>
      </c>
      <c r="G59" s="7">
        <f t="shared" si="6"/>
        <v>7.634389721</v>
      </c>
    </row>
    <row r="60">
      <c r="B60" s="2" t="s">
        <v>8</v>
      </c>
      <c r="C60" s="3">
        <f t="shared" si="4"/>
        <v>48.48074395</v>
      </c>
      <c r="F60" s="3">
        <f t="shared" si="5"/>
        <v>38.86333173</v>
      </c>
      <c r="G60" s="7">
        <f t="shared" si="6"/>
        <v>22.43775504</v>
      </c>
    </row>
    <row r="61">
      <c r="B61" s="2" t="s">
        <v>19</v>
      </c>
      <c r="C61" s="3">
        <f t="shared" si="4"/>
        <v>151.2510315</v>
      </c>
      <c r="F61" s="3">
        <f t="shared" si="5"/>
        <v>5.783237432</v>
      </c>
      <c r="G61" s="7">
        <f t="shared" si="6"/>
        <v>3.338953688</v>
      </c>
    </row>
    <row r="62">
      <c r="F62" s="3"/>
      <c r="G62" s="7"/>
    </row>
    <row r="63">
      <c r="F63" s="3"/>
      <c r="G63" s="7"/>
    </row>
    <row r="64">
      <c r="C64" s="8" t="s">
        <v>25</v>
      </c>
      <c r="D64" s="8" t="s">
        <v>26</v>
      </c>
      <c r="E64" s="8" t="s">
        <v>32</v>
      </c>
      <c r="F64" s="3"/>
      <c r="G64" s="8" t="s">
        <v>28</v>
      </c>
      <c r="H64" s="8" t="s">
        <v>29</v>
      </c>
    </row>
    <row r="65">
      <c r="C65" s="8">
        <v>0.0</v>
      </c>
      <c r="D65" s="10">
        <v>0.0</v>
      </c>
      <c r="E65" s="7">
        <f>D65/D86</f>
        <v>0</v>
      </c>
      <c r="F65" s="3"/>
      <c r="G65" s="7">
        <f>SUMPRODUCT(C65:C85, E65:E85) / SUM(E65:E85)</f>
        <v>47.5862069</v>
      </c>
      <c r="H65" s="7">
        <f>SQRT(SUMPRODUCT(E65:E85, (C65:C85 - $G$65)^2) / SUM(E65:E85)
)</f>
        <v>42.96391207</v>
      </c>
    </row>
    <row r="66">
      <c r="C66" s="8">
        <v>10.0</v>
      </c>
      <c r="D66" s="10">
        <v>2.0</v>
      </c>
      <c r="E66" s="7">
        <f>D66/D86</f>
        <v>0.06896551724</v>
      </c>
      <c r="F66" s="3"/>
      <c r="G66" s="7"/>
    </row>
    <row r="67">
      <c r="C67" s="8">
        <v>20.0</v>
      </c>
      <c r="D67" s="10">
        <v>7.0</v>
      </c>
      <c r="E67" s="7">
        <f>D67/D86</f>
        <v>0.2413793103</v>
      </c>
      <c r="F67" s="3"/>
      <c r="G67" s="7"/>
    </row>
    <row r="68">
      <c r="C68" s="8">
        <v>30.0</v>
      </c>
      <c r="D68" s="10">
        <v>11.0</v>
      </c>
      <c r="E68" s="7">
        <f>D68/D86</f>
        <v>0.3793103448</v>
      </c>
      <c r="F68" s="3"/>
      <c r="G68" s="7"/>
    </row>
    <row r="69">
      <c r="C69" s="8">
        <v>40.0</v>
      </c>
      <c r="D69" s="10">
        <v>1.0</v>
      </c>
      <c r="E69" s="7">
        <f>D69/D86</f>
        <v>0.03448275862</v>
      </c>
      <c r="F69" s="3"/>
      <c r="G69" s="7"/>
    </row>
    <row r="70">
      <c r="C70" s="8">
        <v>50.0</v>
      </c>
      <c r="D70" s="10">
        <v>2.0</v>
      </c>
      <c r="E70" s="7">
        <f>D70/D86</f>
        <v>0.06896551724</v>
      </c>
      <c r="F70" s="3"/>
      <c r="G70" s="7"/>
    </row>
    <row r="71">
      <c r="C71" s="8">
        <v>60.0</v>
      </c>
      <c r="D71" s="10">
        <v>0.0</v>
      </c>
      <c r="E71" s="7">
        <f>D71/D86</f>
        <v>0</v>
      </c>
    </row>
    <row r="72">
      <c r="C72" s="8">
        <v>70.0</v>
      </c>
      <c r="D72" s="10">
        <v>1.0</v>
      </c>
      <c r="E72" s="7">
        <f>D72/D86</f>
        <v>0.03448275862</v>
      </c>
    </row>
    <row r="73">
      <c r="C73" s="8">
        <v>80.0</v>
      </c>
      <c r="D73" s="10">
        <v>0.0</v>
      </c>
      <c r="E73" s="7">
        <f>D73/D86</f>
        <v>0</v>
      </c>
    </row>
    <row r="74">
      <c r="C74" s="8">
        <v>90.0</v>
      </c>
      <c r="D74" s="10">
        <v>0.0</v>
      </c>
      <c r="E74" s="7">
        <f>D74/D86</f>
        <v>0</v>
      </c>
    </row>
    <row r="75">
      <c r="C75" s="8">
        <v>100.0</v>
      </c>
      <c r="D75" s="10">
        <v>0.0</v>
      </c>
      <c r="E75" s="7">
        <f>D75/D86</f>
        <v>0</v>
      </c>
    </row>
    <row r="76">
      <c r="C76" s="8">
        <v>110.0</v>
      </c>
      <c r="D76" s="10">
        <v>2.0</v>
      </c>
      <c r="E76" s="7">
        <f>D76/D86</f>
        <v>0.06896551724</v>
      </c>
    </row>
    <row r="77">
      <c r="C77" s="8">
        <v>120.0</v>
      </c>
      <c r="D77" s="10">
        <v>0.0</v>
      </c>
      <c r="E77" s="7">
        <f>D77/D86</f>
        <v>0</v>
      </c>
    </row>
    <row r="78">
      <c r="C78" s="8">
        <v>130.0</v>
      </c>
      <c r="D78" s="10">
        <v>0.0</v>
      </c>
      <c r="E78" s="7">
        <f>D78/D86</f>
        <v>0</v>
      </c>
    </row>
    <row r="79">
      <c r="C79" s="8">
        <v>140.0</v>
      </c>
      <c r="D79" s="10">
        <v>0.0</v>
      </c>
      <c r="E79" s="7">
        <f>D79/D86</f>
        <v>0</v>
      </c>
    </row>
    <row r="80">
      <c r="C80" s="8">
        <v>150.0</v>
      </c>
      <c r="D80" s="10">
        <v>2.0</v>
      </c>
      <c r="E80" s="7">
        <f>D80/D86</f>
        <v>0.06896551724</v>
      </c>
    </row>
    <row r="81">
      <c r="C81" s="8">
        <v>160.0</v>
      </c>
      <c r="D81" s="10">
        <v>1.0</v>
      </c>
      <c r="E81" s="7">
        <f>D81/D86</f>
        <v>0.03448275862</v>
      </c>
    </row>
    <row r="82">
      <c r="C82" s="8">
        <v>170.0</v>
      </c>
      <c r="D82" s="10">
        <v>0.0</v>
      </c>
      <c r="E82" s="7">
        <f>D82/D86</f>
        <v>0</v>
      </c>
    </row>
    <row r="83">
      <c r="C83" s="8">
        <v>180.0</v>
      </c>
      <c r="D83" s="10">
        <v>0.0</v>
      </c>
      <c r="E83" s="7">
        <f>D83/D86</f>
        <v>0</v>
      </c>
    </row>
    <row r="84">
      <c r="C84" s="8">
        <v>190.0</v>
      </c>
      <c r="D84" s="10">
        <v>0.0</v>
      </c>
      <c r="E84" s="7">
        <f>D84/D86</f>
        <v>0</v>
      </c>
    </row>
    <row r="85">
      <c r="C85" s="8">
        <v>200.0</v>
      </c>
      <c r="D85" s="10">
        <v>0.0</v>
      </c>
      <c r="E85" s="7">
        <f>D85/D86</f>
        <v>0</v>
      </c>
    </row>
    <row r="86">
      <c r="D86" s="8">
        <f t="shared" ref="D86:E86" si="9">SUM(D65:D85)</f>
        <v>29</v>
      </c>
      <c r="E86" s="9">
        <f t="shared" si="9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1.63"/>
  </cols>
  <sheetData>
    <row r="1" ht="12.7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  <c r="J1" s="1" t="s">
        <v>3</v>
      </c>
      <c r="K1" s="1"/>
      <c r="L1" s="1" t="s">
        <v>4</v>
      </c>
      <c r="M1" s="1" t="s">
        <v>1</v>
      </c>
      <c r="N1" s="1" t="s">
        <v>2</v>
      </c>
      <c r="O1" s="1" t="s">
        <v>3</v>
      </c>
      <c r="P1" s="1"/>
      <c r="Q1" s="1" t="s">
        <v>5</v>
      </c>
      <c r="R1" s="1" t="s">
        <v>1</v>
      </c>
      <c r="S1" s="1" t="s">
        <v>2</v>
      </c>
      <c r="T1" s="1" t="s">
        <v>3</v>
      </c>
      <c r="U1" s="1" t="s">
        <v>6</v>
      </c>
      <c r="W1" s="1"/>
      <c r="X1" s="1"/>
    </row>
    <row r="2" ht="12.75" customHeight="1">
      <c r="A2" s="2"/>
      <c r="B2" s="2"/>
      <c r="C2" s="2"/>
      <c r="D2" s="7"/>
      <c r="E2" s="2"/>
      <c r="F2" s="2"/>
      <c r="G2" s="2" t="s">
        <v>19</v>
      </c>
      <c r="H2" s="13">
        <v>0.0</v>
      </c>
      <c r="I2" s="13">
        <v>96.894172668457</v>
      </c>
      <c r="J2" s="7">
        <f t="shared" ref="J2:J39" si="1">SQRT((U3 - H2)^2 + (V3 - I2)^2)</f>
        <v>78.85735482</v>
      </c>
      <c r="L2" s="2" t="s">
        <v>19</v>
      </c>
      <c r="M2" s="13">
        <v>0.0</v>
      </c>
      <c r="N2" s="13">
        <v>106.972457885742</v>
      </c>
      <c r="O2" s="3">
        <f t="shared" ref="O2:O39" si="2">SQRT((U3 - M2)^2 + (V3 - N2)^2)</f>
        <v>73.51946842</v>
      </c>
      <c r="Q2" s="2" t="s">
        <v>19</v>
      </c>
      <c r="R2" s="13">
        <v>0.0</v>
      </c>
      <c r="S2" s="13">
        <v>140.061279296875</v>
      </c>
      <c r="T2" s="3">
        <f t="shared" ref="T2:T39" si="3">SQRT((U3 - R2)^2 + (V3 - S2)^2)</f>
        <v>64.52147306</v>
      </c>
      <c r="U2" s="1" t="s">
        <v>1</v>
      </c>
      <c r="V2" s="1" t="s">
        <v>2</v>
      </c>
      <c r="W2" s="1"/>
      <c r="X2" s="1"/>
    </row>
    <row r="3" ht="12.75" customHeight="1">
      <c r="A3" s="2"/>
      <c r="B3" s="2"/>
      <c r="C3" s="2"/>
      <c r="D3" s="7"/>
      <c r="E3" s="2"/>
      <c r="F3" s="2"/>
      <c r="G3" s="2" t="s">
        <v>7</v>
      </c>
      <c r="H3" s="13">
        <v>68.3899688720703</v>
      </c>
      <c r="I3" s="11">
        <f>-171.655899047852+360</f>
        <v>188.344101</v>
      </c>
      <c r="J3" s="7">
        <f t="shared" si="1"/>
        <v>140.6293384</v>
      </c>
      <c r="L3" s="2" t="s">
        <v>7</v>
      </c>
      <c r="M3" s="13">
        <v>60.8822364807129</v>
      </c>
      <c r="N3" s="17">
        <f>-172.649917602539+360</f>
        <v>187.3500824</v>
      </c>
      <c r="O3" s="3">
        <f t="shared" si="2"/>
        <v>133.2187995</v>
      </c>
      <c r="Q3" s="2" t="s">
        <v>7</v>
      </c>
      <c r="R3" s="13">
        <v>61.270637512207</v>
      </c>
      <c r="S3" s="17">
        <f>-177.467269897461+360</f>
        <v>182.5327301</v>
      </c>
      <c r="T3" s="3">
        <f t="shared" si="3"/>
        <v>132.0371557</v>
      </c>
      <c r="U3" s="18">
        <v>-64.48310979207358</v>
      </c>
      <c r="V3" s="18">
        <v>142.28592258029508</v>
      </c>
    </row>
    <row r="4" ht="12.75" customHeight="1">
      <c r="A4" s="2"/>
      <c r="B4" s="2"/>
      <c r="C4" s="2"/>
      <c r="D4" s="7"/>
      <c r="E4" s="2"/>
      <c r="F4" s="2"/>
      <c r="G4" s="2" t="s">
        <v>8</v>
      </c>
      <c r="H4" s="13">
        <v>-30.7124443054199</v>
      </c>
      <c r="I4" s="13">
        <v>142.039596557617</v>
      </c>
      <c r="J4" s="7">
        <f t="shared" si="1"/>
        <v>33.77156384</v>
      </c>
      <c r="L4" s="2" t="s">
        <v>8</v>
      </c>
      <c r="M4" s="13">
        <v>-40.8515205383301</v>
      </c>
      <c r="N4" s="13">
        <v>141.95344543457</v>
      </c>
      <c r="O4" s="3">
        <f t="shared" si="2"/>
        <v>23.63392798</v>
      </c>
      <c r="Q4" s="2" t="s">
        <v>8</v>
      </c>
      <c r="R4" s="13">
        <v>-63.7839126586914</v>
      </c>
      <c r="S4" s="13">
        <v>156.916381835938</v>
      </c>
      <c r="T4" s="3">
        <f t="shared" si="3"/>
        <v>14.64715722</v>
      </c>
      <c r="U4" s="18">
        <v>-64.48310979207358</v>
      </c>
      <c r="V4" s="18">
        <v>142.28592258029508</v>
      </c>
    </row>
    <row r="5" ht="12.75" customHeight="1">
      <c r="A5" s="2"/>
      <c r="B5" s="2"/>
      <c r="C5" s="2"/>
      <c r="D5" s="7"/>
      <c r="E5" s="2"/>
      <c r="F5" s="2"/>
      <c r="G5" s="2" t="s">
        <v>20</v>
      </c>
      <c r="H5" s="13">
        <v>-97.5068969726562</v>
      </c>
      <c r="I5" s="13">
        <v>165.022445678711</v>
      </c>
      <c r="J5" s="7">
        <f t="shared" si="1"/>
        <v>40.09388984</v>
      </c>
      <c r="L5" s="2" t="s">
        <v>20</v>
      </c>
      <c r="M5" s="13">
        <v>-92.2082748413086</v>
      </c>
      <c r="N5" s="13">
        <v>17.7999420166016</v>
      </c>
      <c r="O5" s="3">
        <f t="shared" si="2"/>
        <v>127.5360503</v>
      </c>
      <c r="P5" s="2"/>
      <c r="Q5" s="2" t="s">
        <v>20</v>
      </c>
      <c r="R5" s="13">
        <v>-51.4452362060547</v>
      </c>
      <c r="S5" s="13">
        <v>141.551345825195</v>
      </c>
      <c r="T5" s="3">
        <f t="shared" si="3"/>
        <v>13.05855086</v>
      </c>
      <c r="U5" s="18">
        <v>-64.48310979207358</v>
      </c>
      <c r="V5" s="18">
        <v>142.28592258029508</v>
      </c>
    </row>
    <row r="6" ht="12.75" customHeight="1">
      <c r="A6" s="2"/>
      <c r="B6" s="2"/>
      <c r="C6" s="2"/>
      <c r="D6" s="7"/>
      <c r="E6" s="2"/>
      <c r="F6" s="2"/>
      <c r="G6" s="2" t="s">
        <v>7</v>
      </c>
      <c r="H6" s="13">
        <v>-64.8160552978516</v>
      </c>
      <c r="I6" s="19">
        <v>171.168045043945</v>
      </c>
      <c r="J6" s="7">
        <f t="shared" si="1"/>
        <v>28.88404145</v>
      </c>
      <c r="L6" s="2" t="s">
        <v>7</v>
      </c>
      <c r="M6" s="11">
        <f>170.138137817383-360</f>
        <v>-189.8618622</v>
      </c>
      <c r="N6" s="17">
        <f>-160.402572631836+360</f>
        <v>199.5974274</v>
      </c>
      <c r="O6" s="3">
        <f t="shared" si="2"/>
        <v>137.8565926</v>
      </c>
      <c r="P6" s="2"/>
      <c r="Q6" s="2" t="s">
        <v>7</v>
      </c>
      <c r="R6" s="13">
        <v>98.2309265136719</v>
      </c>
      <c r="S6" s="17">
        <f>-158.687637329102+360</f>
        <v>201.3123627</v>
      </c>
      <c r="T6" s="3">
        <f t="shared" si="3"/>
        <v>173.0895093</v>
      </c>
      <c r="U6" s="18">
        <v>-64.48310979207358</v>
      </c>
      <c r="V6" s="18">
        <v>142.28592258029508</v>
      </c>
    </row>
    <row r="7" ht="12.75" customHeight="1">
      <c r="A7" s="2"/>
      <c r="B7" s="2"/>
      <c r="C7" s="2"/>
      <c r="D7" s="7"/>
      <c r="E7" s="2"/>
      <c r="F7" s="2"/>
      <c r="G7" s="2" t="s">
        <v>8</v>
      </c>
      <c r="H7" s="13">
        <v>-52.2946701049805</v>
      </c>
      <c r="I7" s="13">
        <v>147.934295654297</v>
      </c>
      <c r="J7" s="7">
        <f t="shared" si="1"/>
        <v>13.43362127</v>
      </c>
      <c r="L7" s="2" t="s">
        <v>8</v>
      </c>
      <c r="M7" s="13">
        <v>-53.8630523681641</v>
      </c>
      <c r="N7" s="13">
        <v>148.448318481445</v>
      </c>
      <c r="O7" s="3">
        <f t="shared" si="2"/>
        <v>12.27846664</v>
      </c>
      <c r="P7" s="2"/>
      <c r="Q7" s="2" t="s">
        <v>8</v>
      </c>
      <c r="R7" s="13">
        <v>-48.7017059326172</v>
      </c>
      <c r="S7" s="13">
        <v>136.098999023438</v>
      </c>
      <c r="T7" s="3">
        <f t="shared" si="3"/>
        <v>16.95083275</v>
      </c>
      <c r="U7" s="18">
        <v>-64.4831097920736</v>
      </c>
      <c r="V7" s="18">
        <v>142.285922580295</v>
      </c>
    </row>
    <row r="8" ht="12.75" customHeight="1">
      <c r="A8" s="2"/>
      <c r="B8" s="2"/>
      <c r="C8" s="2"/>
      <c r="D8" s="7"/>
      <c r="E8" s="2"/>
      <c r="F8" s="2"/>
      <c r="G8" s="2" t="s">
        <v>20</v>
      </c>
      <c r="H8" s="13">
        <v>-73.2399978637695</v>
      </c>
      <c r="I8" s="13">
        <v>158.261810302734</v>
      </c>
      <c r="J8" s="7">
        <f t="shared" si="1"/>
        <v>18.2184543</v>
      </c>
      <c r="L8" s="2" t="s">
        <v>20</v>
      </c>
      <c r="M8" s="13">
        <v>-83.6084289550781</v>
      </c>
      <c r="N8" s="13">
        <v>149.125244140625</v>
      </c>
      <c r="O8" s="3">
        <f t="shared" si="2"/>
        <v>20.31142911</v>
      </c>
      <c r="P8" s="2"/>
      <c r="Q8" s="2" t="s">
        <v>20</v>
      </c>
      <c r="R8" s="13">
        <v>-31.6282367706299</v>
      </c>
      <c r="S8" s="13">
        <v>124.160507202148</v>
      </c>
      <c r="T8" s="3">
        <f t="shared" si="3"/>
        <v>37.52297115</v>
      </c>
      <c r="U8" s="18">
        <v>-64.4831097920736</v>
      </c>
      <c r="V8" s="18">
        <v>142.285922580295</v>
      </c>
    </row>
    <row r="9" ht="12.75" customHeight="1">
      <c r="A9" s="2"/>
      <c r="B9" s="2"/>
      <c r="C9" s="2"/>
      <c r="D9" s="7"/>
      <c r="E9" s="2"/>
      <c r="F9" s="2"/>
      <c r="G9" s="2" t="s">
        <v>7</v>
      </c>
      <c r="H9" s="13">
        <v>-62.4060935974121</v>
      </c>
      <c r="I9" s="11">
        <f>-172.119216918945+360</f>
        <v>187.8807831</v>
      </c>
      <c r="J9" s="7">
        <f t="shared" si="1"/>
        <v>45.64214391</v>
      </c>
      <c r="L9" s="2" t="s">
        <v>7</v>
      </c>
      <c r="M9" s="13">
        <v>-80.6993789672852</v>
      </c>
      <c r="N9" s="13">
        <v>178.369979858398</v>
      </c>
      <c r="O9" s="3">
        <f t="shared" si="2"/>
        <v>39.56041678</v>
      </c>
      <c r="P9" s="2"/>
      <c r="Q9" s="2" t="s">
        <v>7</v>
      </c>
      <c r="R9" s="13">
        <v>-72.6709823608398</v>
      </c>
      <c r="S9" s="11">
        <f>-176.139938354492+360</f>
        <v>183.8600616</v>
      </c>
      <c r="T9" s="3">
        <f t="shared" si="3"/>
        <v>42.37275417</v>
      </c>
      <c r="U9" s="18">
        <v>-64.4831097920736</v>
      </c>
      <c r="V9" s="18">
        <v>142.285922580295</v>
      </c>
    </row>
    <row r="10" ht="12.75" customHeight="1">
      <c r="A10" s="2"/>
      <c r="B10" s="2"/>
      <c r="C10" s="2"/>
      <c r="D10" s="7"/>
      <c r="E10" s="2"/>
      <c r="F10" s="2"/>
      <c r="G10" s="2" t="s">
        <v>8</v>
      </c>
      <c r="H10" s="13">
        <v>-65.7656021118164</v>
      </c>
      <c r="I10" s="13">
        <v>148.562133789063</v>
      </c>
      <c r="J10" s="7">
        <f t="shared" si="1"/>
        <v>6.405904596</v>
      </c>
      <c r="L10" s="2" t="s">
        <v>8</v>
      </c>
      <c r="M10" s="13">
        <v>-62.1723709106445</v>
      </c>
      <c r="N10" s="13">
        <v>147.573471069336</v>
      </c>
      <c r="O10" s="3">
        <f t="shared" si="2"/>
        <v>5.770414474</v>
      </c>
      <c r="P10" s="2"/>
      <c r="Q10" s="2" t="s">
        <v>8</v>
      </c>
      <c r="R10" s="13">
        <v>-43.9389381408691</v>
      </c>
      <c r="S10" s="13">
        <v>142.732299804688</v>
      </c>
      <c r="T10" s="3">
        <f t="shared" si="3"/>
        <v>20.54902045</v>
      </c>
      <c r="U10" s="18">
        <v>-64.4831097920736</v>
      </c>
      <c r="V10" s="18">
        <v>142.285922580295</v>
      </c>
    </row>
    <row r="11" ht="12.75" customHeight="1">
      <c r="A11" s="2"/>
      <c r="B11" s="2"/>
      <c r="C11" s="2"/>
      <c r="D11" s="7"/>
      <c r="E11" s="2"/>
      <c r="F11" s="2"/>
      <c r="G11" s="2" t="s">
        <v>20</v>
      </c>
      <c r="H11" s="13">
        <v>-53.518726348877</v>
      </c>
      <c r="I11" s="13">
        <v>137.891128540039</v>
      </c>
      <c r="J11" s="7">
        <f t="shared" si="1"/>
        <v>11.81236297</v>
      </c>
      <c r="L11" s="2" t="s">
        <v>20</v>
      </c>
      <c r="M11" s="13">
        <v>-58.9643249511719</v>
      </c>
      <c r="N11" s="13">
        <v>140.188354492188</v>
      </c>
      <c r="O11" s="3">
        <f t="shared" si="2"/>
        <v>5.903962907</v>
      </c>
      <c r="P11" s="2"/>
      <c r="Q11" s="2" t="s">
        <v>20</v>
      </c>
      <c r="R11" s="13">
        <v>-69.6492385864258</v>
      </c>
      <c r="S11" s="13">
        <v>128.89208984375</v>
      </c>
      <c r="T11" s="3">
        <f t="shared" si="3"/>
        <v>14.35561361</v>
      </c>
      <c r="U11" s="18">
        <v>-64.4831097920736</v>
      </c>
      <c r="V11" s="18">
        <v>142.285922580295</v>
      </c>
    </row>
    <row r="12" ht="12.75" customHeight="1">
      <c r="A12" s="2"/>
      <c r="B12" s="2"/>
      <c r="C12" s="2"/>
      <c r="D12" s="7"/>
      <c r="E12" s="2"/>
      <c r="F12" s="2"/>
      <c r="G12" s="2" t="s">
        <v>7</v>
      </c>
      <c r="H12" s="13">
        <v>-66.6942291259766</v>
      </c>
      <c r="I12" s="13">
        <v>170.208511352539</v>
      </c>
      <c r="J12" s="7">
        <f t="shared" si="1"/>
        <v>28.00999844</v>
      </c>
      <c r="L12" s="2" t="s">
        <v>7</v>
      </c>
      <c r="M12" s="13">
        <v>-48.0756149291992</v>
      </c>
      <c r="N12" s="13">
        <v>159.784729003906</v>
      </c>
      <c r="O12" s="3">
        <f t="shared" si="2"/>
        <v>23.98779093</v>
      </c>
      <c r="P12" s="2"/>
      <c r="Q12" s="2" t="s">
        <v>7</v>
      </c>
      <c r="R12" s="13">
        <v>-44.1976928710938</v>
      </c>
      <c r="S12" s="13">
        <v>172.903671264648</v>
      </c>
      <c r="T12" s="3">
        <f t="shared" si="3"/>
        <v>36.72798217</v>
      </c>
      <c r="U12" s="18">
        <v>-64.4831097920736</v>
      </c>
      <c r="V12" s="18">
        <v>142.285922580295</v>
      </c>
    </row>
    <row r="13" ht="12.75" customHeight="1">
      <c r="A13" s="2"/>
      <c r="B13" s="2"/>
      <c r="C13" s="2"/>
      <c r="D13" s="7"/>
      <c r="E13" s="2"/>
      <c r="F13" s="2"/>
      <c r="G13" s="2" t="s">
        <v>8</v>
      </c>
      <c r="H13" s="13">
        <v>-47.1274681091309</v>
      </c>
      <c r="I13" s="13">
        <v>147.065628051758</v>
      </c>
      <c r="J13" s="7">
        <f t="shared" si="1"/>
        <v>18.00177443</v>
      </c>
      <c r="L13" s="2" t="s">
        <v>8</v>
      </c>
      <c r="M13" s="13">
        <v>-57.6343040466309</v>
      </c>
      <c r="N13" s="13">
        <v>152.438247680664</v>
      </c>
      <c r="O13" s="3">
        <f t="shared" si="2"/>
        <v>12.24646255</v>
      </c>
      <c r="P13" s="2"/>
      <c r="Q13" s="2" t="s">
        <v>8</v>
      </c>
      <c r="R13" s="13">
        <v>-84.030158996582</v>
      </c>
      <c r="S13" s="13">
        <v>156.425216674805</v>
      </c>
      <c r="T13" s="3">
        <f t="shared" si="3"/>
        <v>24.12481648</v>
      </c>
      <c r="U13" s="18">
        <v>-64.4831097920736</v>
      </c>
      <c r="V13" s="18">
        <v>142.285922580295</v>
      </c>
    </row>
    <row r="14" ht="12.75" customHeight="1">
      <c r="A14" s="2"/>
      <c r="B14" s="2"/>
      <c r="C14" s="2"/>
      <c r="D14" s="7"/>
      <c r="E14" s="2"/>
      <c r="F14" s="2"/>
      <c r="G14" s="2" t="s">
        <v>20</v>
      </c>
      <c r="H14" s="13">
        <v>-53.6030998229981</v>
      </c>
      <c r="I14" s="13">
        <v>124.786491394043</v>
      </c>
      <c r="J14" s="7">
        <f t="shared" si="1"/>
        <v>20.60593868</v>
      </c>
      <c r="L14" s="2" t="s">
        <v>20</v>
      </c>
      <c r="M14" s="13">
        <v>-52.7141876220703</v>
      </c>
      <c r="N14" s="13">
        <v>154.543991088867</v>
      </c>
      <c r="O14" s="3">
        <f t="shared" si="2"/>
        <v>16.99316841</v>
      </c>
      <c r="P14" s="2"/>
      <c r="Q14" s="2" t="s">
        <v>20</v>
      </c>
      <c r="R14" s="13">
        <v>-55.1538391113281</v>
      </c>
      <c r="S14" s="13">
        <v>137.425354003906</v>
      </c>
      <c r="T14" s="3">
        <f t="shared" si="3"/>
        <v>10.51952557</v>
      </c>
      <c r="U14" s="18">
        <v>-64.4831097920736</v>
      </c>
      <c r="V14" s="18">
        <v>142.285922580295</v>
      </c>
    </row>
    <row r="15" ht="12.75" customHeight="1">
      <c r="A15" s="2"/>
      <c r="B15" s="2"/>
      <c r="C15" s="2"/>
      <c r="D15" s="7"/>
      <c r="E15" s="2"/>
      <c r="F15" s="2"/>
      <c r="G15" s="2" t="s">
        <v>7</v>
      </c>
      <c r="H15" s="13">
        <v>-49.8512077331543</v>
      </c>
      <c r="I15" s="13">
        <v>159.565521240234</v>
      </c>
      <c r="J15" s="7">
        <f t="shared" si="1"/>
        <v>22.64237372</v>
      </c>
      <c r="L15" s="2" t="s">
        <v>7</v>
      </c>
      <c r="M15" s="13">
        <v>-69.0087890625</v>
      </c>
      <c r="N15" s="13">
        <v>176.324630737305</v>
      </c>
      <c r="O15" s="3">
        <f t="shared" si="2"/>
        <v>34.33825019</v>
      </c>
      <c r="P15" s="2"/>
      <c r="Q15" s="2" t="s">
        <v>7</v>
      </c>
      <c r="R15" s="13">
        <v>-51.2357940673828</v>
      </c>
      <c r="S15" s="13">
        <v>157.497634887695</v>
      </c>
      <c r="T15" s="3">
        <f t="shared" si="3"/>
        <v>20.17145422</v>
      </c>
      <c r="U15" s="18">
        <v>-64.4831097920736</v>
      </c>
      <c r="V15" s="18">
        <v>142.285922580295</v>
      </c>
    </row>
    <row r="16" ht="12.75" customHeight="1">
      <c r="A16" s="2"/>
      <c r="B16" s="2"/>
      <c r="C16" s="2"/>
      <c r="D16" s="7"/>
      <c r="E16" s="2"/>
      <c r="F16" s="2"/>
      <c r="G16" s="2" t="s">
        <v>8</v>
      </c>
      <c r="H16" s="13">
        <v>-49.3247489929199</v>
      </c>
      <c r="I16" s="13">
        <v>147.60710144043</v>
      </c>
      <c r="J16" s="7">
        <f t="shared" si="1"/>
        <v>16.06520609</v>
      </c>
      <c r="L16" s="2" t="s">
        <v>8</v>
      </c>
      <c r="M16" s="13">
        <v>-57.3120155334473</v>
      </c>
      <c r="N16" s="13">
        <v>140.154327392578</v>
      </c>
      <c r="O16" s="3">
        <f t="shared" si="2"/>
        <v>7.481195821</v>
      </c>
      <c r="P16" s="2"/>
      <c r="Q16" s="2" t="s">
        <v>8</v>
      </c>
      <c r="R16" s="13">
        <v>-66.639518737793</v>
      </c>
      <c r="S16" s="13">
        <v>149.326522827148</v>
      </c>
      <c r="T16" s="3">
        <f t="shared" si="3"/>
        <v>7.363433396</v>
      </c>
      <c r="U16" s="18">
        <v>-64.4831097920736</v>
      </c>
      <c r="V16" s="18">
        <v>142.285922580295</v>
      </c>
    </row>
    <row r="17" ht="12.75" customHeight="1">
      <c r="A17" s="2"/>
      <c r="B17" s="2"/>
      <c r="C17" s="2"/>
      <c r="D17" s="7"/>
      <c r="E17" s="2"/>
      <c r="F17" s="2"/>
      <c r="G17" s="2" t="s">
        <v>21</v>
      </c>
      <c r="H17" s="13">
        <v>-31.7954902648926</v>
      </c>
      <c r="I17" s="13">
        <v>138.022277832031</v>
      </c>
      <c r="J17" s="7">
        <f t="shared" si="1"/>
        <v>32.9645133</v>
      </c>
      <c r="L17" s="2" t="s">
        <v>21</v>
      </c>
      <c r="M17" s="13">
        <v>-36.7970848083496</v>
      </c>
      <c r="N17" s="13">
        <v>125.977554321289</v>
      </c>
      <c r="O17" s="3">
        <f t="shared" si="2"/>
        <v>32.13220899</v>
      </c>
      <c r="P17" s="2"/>
      <c r="Q17" s="2" t="s">
        <v>21</v>
      </c>
      <c r="R17" s="13">
        <v>-51.9819602966309</v>
      </c>
      <c r="S17" s="13">
        <v>138.979263305664</v>
      </c>
      <c r="T17" s="3">
        <f t="shared" si="3"/>
        <v>12.9310763</v>
      </c>
      <c r="U17" s="18">
        <v>-64.4831097920736</v>
      </c>
      <c r="V17" s="18">
        <v>142.285922580295</v>
      </c>
    </row>
    <row r="18" ht="12.75" customHeight="1">
      <c r="A18" s="2"/>
      <c r="B18" s="2"/>
      <c r="C18" s="2"/>
      <c r="D18" s="7"/>
      <c r="E18" s="2"/>
      <c r="F18" s="2"/>
      <c r="G18" s="2" t="s">
        <v>7</v>
      </c>
      <c r="H18" s="13">
        <v>-72.8829040527344</v>
      </c>
      <c r="I18" s="11">
        <f>-169.043426513672+360</f>
        <v>190.9565735</v>
      </c>
      <c r="J18" s="7">
        <f t="shared" si="1"/>
        <v>49.3901691</v>
      </c>
      <c r="L18" s="2" t="s">
        <v>7</v>
      </c>
      <c r="M18" s="13">
        <v>-57.9672889709473</v>
      </c>
      <c r="N18" s="19">
        <v>164.446197509766</v>
      </c>
      <c r="O18" s="3">
        <f t="shared" si="2"/>
        <v>23.09834855</v>
      </c>
      <c r="P18" s="2"/>
      <c r="Q18" s="2" t="s">
        <v>7</v>
      </c>
      <c r="R18" s="13">
        <v>-47.1975746154785</v>
      </c>
      <c r="S18" s="13">
        <v>155.467300415039</v>
      </c>
      <c r="T18" s="3">
        <f t="shared" si="3"/>
        <v>21.73794949</v>
      </c>
      <c r="U18" s="18">
        <v>-64.4831097920736</v>
      </c>
      <c r="V18" s="18">
        <v>142.285922580295</v>
      </c>
    </row>
    <row r="19" ht="12.75" customHeight="1">
      <c r="A19" s="2"/>
      <c r="B19" s="2"/>
      <c r="C19" s="2"/>
      <c r="D19" s="7"/>
      <c r="E19" s="2"/>
      <c r="F19" s="2"/>
      <c r="G19" s="2" t="s">
        <v>8</v>
      </c>
      <c r="H19" s="13">
        <v>-63.8252830505371</v>
      </c>
      <c r="I19" s="13">
        <v>141.597640991211</v>
      </c>
      <c r="J19" s="7">
        <f t="shared" si="1"/>
        <v>0.9520859036</v>
      </c>
      <c r="L19" s="2" t="s">
        <v>8</v>
      </c>
      <c r="M19" s="13">
        <v>-50.6760711669922</v>
      </c>
      <c r="N19" s="13">
        <v>149.649887084961</v>
      </c>
      <c r="O19" s="3">
        <f t="shared" si="2"/>
        <v>15.6480762</v>
      </c>
      <c r="P19" s="2"/>
      <c r="Q19" s="2" t="s">
        <v>8</v>
      </c>
      <c r="R19" s="13">
        <v>-49.9099006652832</v>
      </c>
      <c r="S19" s="13">
        <v>130.180130004883</v>
      </c>
      <c r="T19" s="3">
        <f t="shared" si="3"/>
        <v>18.94541206</v>
      </c>
      <c r="U19" s="18">
        <v>-64.4831097920736</v>
      </c>
      <c r="V19" s="18">
        <v>142.285922580295</v>
      </c>
    </row>
    <row r="20" ht="12.75" customHeight="1">
      <c r="A20" s="2"/>
      <c r="B20" s="2"/>
      <c r="C20" s="2"/>
      <c r="D20" s="7"/>
      <c r="E20" s="2"/>
      <c r="F20" s="2"/>
      <c r="G20" s="2" t="s">
        <v>21</v>
      </c>
      <c r="H20" s="13">
        <v>-33.8456954956055</v>
      </c>
      <c r="I20" s="13">
        <v>151.142761230469</v>
      </c>
      <c r="J20" s="7">
        <f t="shared" si="1"/>
        <v>31.89192289</v>
      </c>
      <c r="L20" s="2" t="s">
        <v>21</v>
      </c>
      <c r="M20" s="13">
        <v>-38.2370491027832</v>
      </c>
      <c r="N20" s="13">
        <v>135.006378173828</v>
      </c>
      <c r="O20" s="3">
        <f t="shared" si="2"/>
        <v>27.236877</v>
      </c>
      <c r="P20" s="2"/>
      <c r="Q20" s="2" t="s">
        <v>21</v>
      </c>
      <c r="R20" s="13">
        <v>-30.1441287994385</v>
      </c>
      <c r="S20" s="13">
        <v>140.477020263672</v>
      </c>
      <c r="T20" s="3">
        <f t="shared" si="3"/>
        <v>34.38659249</v>
      </c>
      <c r="U20" s="18">
        <v>-64.4831097920736</v>
      </c>
      <c r="V20" s="18">
        <v>142.285922580295</v>
      </c>
    </row>
    <row r="21" ht="12.75" customHeight="1">
      <c r="A21" s="2"/>
      <c r="B21" s="2"/>
      <c r="C21" s="2"/>
      <c r="D21" s="7"/>
      <c r="E21" s="2"/>
      <c r="F21" s="2"/>
      <c r="G21" s="2" t="s">
        <v>7</v>
      </c>
      <c r="H21" s="13">
        <v>-67.6335220336914</v>
      </c>
      <c r="I21" s="19">
        <v>170.978424072266</v>
      </c>
      <c r="J21" s="7">
        <f t="shared" si="1"/>
        <v>28.86493962</v>
      </c>
      <c r="L21" s="2" t="s">
        <v>7</v>
      </c>
      <c r="M21" s="13">
        <v>-44.7057418823242</v>
      </c>
      <c r="N21" s="19">
        <v>165.034057617188</v>
      </c>
      <c r="O21" s="3">
        <f t="shared" si="2"/>
        <v>30.1433563</v>
      </c>
      <c r="P21" s="2"/>
      <c r="Q21" s="2" t="s">
        <v>7</v>
      </c>
      <c r="R21" s="13">
        <v>-76.4029998779297</v>
      </c>
      <c r="S21" s="19">
        <v>171.727554321289</v>
      </c>
      <c r="T21" s="3">
        <f t="shared" si="3"/>
        <v>31.76308328</v>
      </c>
      <c r="U21" s="18">
        <v>-64.4831097920736</v>
      </c>
      <c r="V21" s="18">
        <v>142.285922580295</v>
      </c>
    </row>
    <row r="22" ht="12.75" customHeight="1">
      <c r="A22" s="2"/>
      <c r="B22" s="2"/>
      <c r="C22" s="2"/>
      <c r="D22" s="7"/>
      <c r="E22" s="2"/>
      <c r="F22" s="2"/>
      <c r="G22" s="2" t="s">
        <v>8</v>
      </c>
      <c r="H22" s="13">
        <v>-73.9800567626953</v>
      </c>
      <c r="I22" s="13">
        <v>160.13005065918</v>
      </c>
      <c r="J22" s="7">
        <f t="shared" si="1"/>
        <v>20.21397805</v>
      </c>
      <c r="L22" s="2" t="s">
        <v>8</v>
      </c>
      <c r="M22" s="13">
        <v>-46.7212677001953</v>
      </c>
      <c r="N22" s="13">
        <v>135.981552124023</v>
      </c>
      <c r="O22" s="3">
        <f t="shared" si="2"/>
        <v>18.84749642</v>
      </c>
      <c r="P22" s="2"/>
      <c r="Q22" s="2" t="s">
        <v>8</v>
      </c>
      <c r="R22" s="13">
        <v>-49.2890090942383</v>
      </c>
      <c r="S22" s="13">
        <v>147.146606445313</v>
      </c>
      <c r="T22" s="3">
        <f t="shared" si="3"/>
        <v>15.95264692</v>
      </c>
      <c r="U22" s="18">
        <v>-64.4831097920736</v>
      </c>
      <c r="V22" s="18">
        <v>142.285922580295</v>
      </c>
    </row>
    <row r="23" ht="12.75" customHeight="1">
      <c r="A23" s="2"/>
      <c r="B23" s="2"/>
      <c r="C23" s="2"/>
      <c r="D23" s="7"/>
      <c r="E23" s="2"/>
      <c r="F23" s="2"/>
      <c r="G23" s="2" t="s">
        <v>21</v>
      </c>
      <c r="H23" s="13">
        <v>-42.5953216552734</v>
      </c>
      <c r="I23" s="13">
        <v>120.845634460449</v>
      </c>
      <c r="J23" s="7">
        <f t="shared" si="1"/>
        <v>30.63921057</v>
      </c>
      <c r="L23" s="2" t="s">
        <v>21</v>
      </c>
      <c r="M23" s="13">
        <v>-33.3322067260742</v>
      </c>
      <c r="N23" s="13">
        <v>137.576156616211</v>
      </c>
      <c r="O23" s="3">
        <f t="shared" si="2"/>
        <v>31.50493068</v>
      </c>
      <c r="P23" s="2"/>
      <c r="Q23" s="2" t="s">
        <v>21</v>
      </c>
      <c r="R23" s="13">
        <v>-55.4280815124512</v>
      </c>
      <c r="S23" s="13">
        <v>154.002197265625</v>
      </c>
      <c r="T23" s="3">
        <f t="shared" si="3"/>
        <v>14.80758689</v>
      </c>
      <c r="U23" s="18">
        <v>-64.4831097920736</v>
      </c>
      <c r="V23" s="18">
        <v>142.285922580295</v>
      </c>
    </row>
    <row r="24" ht="12.75" customHeight="1">
      <c r="A24" s="2"/>
      <c r="B24" s="2"/>
      <c r="C24" s="2"/>
      <c r="D24" s="7"/>
      <c r="E24" s="2"/>
      <c r="F24" s="2"/>
      <c r="G24" s="2" t="s">
        <v>7</v>
      </c>
      <c r="H24" s="13">
        <v>-49.5519790649414</v>
      </c>
      <c r="I24" s="19">
        <v>170.763656616211</v>
      </c>
      <c r="J24" s="7">
        <f t="shared" si="1"/>
        <v>32.15462643</v>
      </c>
      <c r="L24" s="2" t="s">
        <v>7</v>
      </c>
      <c r="M24" s="13">
        <v>-72.3873901367188</v>
      </c>
      <c r="N24" s="17">
        <f>-175.447296142578+360</f>
        <v>184.5527039</v>
      </c>
      <c r="O24" s="3">
        <f t="shared" si="2"/>
        <v>42.99951683</v>
      </c>
      <c r="P24" s="2"/>
      <c r="Q24" s="2" t="s">
        <v>7</v>
      </c>
      <c r="R24" s="13">
        <v>-73.9243011474609</v>
      </c>
      <c r="S24" s="13">
        <v>165.670059204102</v>
      </c>
      <c r="T24" s="3">
        <f t="shared" si="3"/>
        <v>25.21812721</v>
      </c>
      <c r="U24" s="18">
        <v>-64.4831097920736</v>
      </c>
      <c r="V24" s="18">
        <v>142.285922580295</v>
      </c>
    </row>
    <row r="25" ht="12.75" customHeight="1">
      <c r="A25" s="2"/>
      <c r="B25" s="2"/>
      <c r="C25" s="2"/>
      <c r="D25" s="7"/>
      <c r="E25" s="2"/>
      <c r="F25" s="2"/>
      <c r="G25" s="2" t="s">
        <v>8</v>
      </c>
      <c r="H25" s="13">
        <v>-60.317928314209</v>
      </c>
      <c r="I25" s="13">
        <v>139.76383972168</v>
      </c>
      <c r="J25" s="7">
        <f t="shared" si="1"/>
        <v>4.869254428</v>
      </c>
      <c r="L25" s="2" t="s">
        <v>8</v>
      </c>
      <c r="M25" s="13">
        <v>-51.2009544372559</v>
      </c>
      <c r="N25" s="13">
        <v>134.219512939453</v>
      </c>
      <c r="O25" s="3">
        <f t="shared" si="2"/>
        <v>15.53971092</v>
      </c>
      <c r="P25" s="2"/>
      <c r="Q25" s="2" t="s">
        <v>8</v>
      </c>
      <c r="R25" s="13">
        <v>-59.5201454162598</v>
      </c>
      <c r="S25" s="13">
        <v>136.21549987793</v>
      </c>
      <c r="T25" s="3">
        <f t="shared" si="3"/>
        <v>7.84098509</v>
      </c>
      <c r="U25" s="18">
        <v>-64.4831097920736</v>
      </c>
      <c r="V25" s="18">
        <v>142.285922580295</v>
      </c>
    </row>
    <row r="26" ht="12.75" customHeight="1">
      <c r="A26" s="2"/>
      <c r="B26" s="2"/>
      <c r="C26" s="2"/>
      <c r="D26" s="7"/>
      <c r="E26" s="2"/>
      <c r="F26" s="2"/>
      <c r="G26" s="2" t="s">
        <v>21</v>
      </c>
      <c r="H26" s="13">
        <v>-43.6242637634277</v>
      </c>
      <c r="I26" s="13">
        <v>125.858192443848</v>
      </c>
      <c r="J26" s="7">
        <f t="shared" si="1"/>
        <v>26.55111627</v>
      </c>
      <c r="L26" s="2" t="s">
        <v>21</v>
      </c>
      <c r="M26" s="13">
        <v>-34.0400238037109</v>
      </c>
      <c r="N26" s="13">
        <v>128.824493408203</v>
      </c>
      <c r="O26" s="3">
        <f t="shared" si="2"/>
        <v>33.28650717</v>
      </c>
      <c r="P26" s="2"/>
      <c r="Q26" s="2" t="s">
        <v>21</v>
      </c>
      <c r="R26" s="13">
        <v>-43.9394187927246</v>
      </c>
      <c r="S26" s="13">
        <v>135.565093994141</v>
      </c>
      <c r="T26" s="3">
        <f t="shared" si="3"/>
        <v>21.61510529</v>
      </c>
      <c r="U26" s="18">
        <v>-64.4831097920736</v>
      </c>
      <c r="V26" s="18">
        <v>142.285922580295</v>
      </c>
    </row>
    <row r="27" ht="12.75" customHeight="1">
      <c r="A27" s="2"/>
      <c r="B27" s="2"/>
      <c r="C27" s="2"/>
      <c r="D27" s="7"/>
      <c r="E27" s="2"/>
      <c r="F27" s="2"/>
      <c r="G27" s="2" t="s">
        <v>7</v>
      </c>
      <c r="H27" s="13">
        <v>-50.381404876709</v>
      </c>
      <c r="I27" s="13">
        <v>172.220336914063</v>
      </c>
      <c r="J27" s="7">
        <f t="shared" si="1"/>
        <v>33.08968484</v>
      </c>
      <c r="L27" s="2" t="s">
        <v>7</v>
      </c>
      <c r="M27" s="13">
        <v>-64.6806640625</v>
      </c>
      <c r="N27" s="19">
        <v>169.02995300293</v>
      </c>
      <c r="O27" s="3">
        <f t="shared" si="2"/>
        <v>26.74476007</v>
      </c>
      <c r="P27" s="2"/>
      <c r="Q27" s="2" t="s">
        <v>7</v>
      </c>
      <c r="R27" s="13">
        <v>-71.453239440918</v>
      </c>
      <c r="S27" s="11">
        <f>-179.716018676758 + 360</f>
        <v>180.2839813</v>
      </c>
      <c r="T27" s="3">
        <f t="shared" si="3"/>
        <v>38.63204855</v>
      </c>
      <c r="U27" s="18">
        <v>-64.4831097920736</v>
      </c>
      <c r="V27" s="18">
        <v>142.285922580295</v>
      </c>
    </row>
    <row r="28" ht="12.75" customHeight="1">
      <c r="A28" s="2"/>
      <c r="B28" s="2"/>
      <c r="C28" s="2"/>
      <c r="D28" s="7"/>
      <c r="E28" s="2"/>
      <c r="F28" s="2"/>
      <c r="G28" s="2" t="s">
        <v>15</v>
      </c>
      <c r="H28" s="13">
        <v>-77.2998275756836</v>
      </c>
      <c r="I28" s="13">
        <v>155.69367980957</v>
      </c>
      <c r="J28" s="7">
        <f t="shared" si="1"/>
        <v>18.54821309</v>
      </c>
      <c r="L28" s="2" t="s">
        <v>15</v>
      </c>
      <c r="M28" s="13">
        <v>-67.5211563110352</v>
      </c>
      <c r="N28" s="13">
        <v>156.966156005859</v>
      </c>
      <c r="O28" s="3">
        <f t="shared" si="2"/>
        <v>14.99129681</v>
      </c>
      <c r="P28" s="2"/>
      <c r="Q28" s="2" t="s">
        <v>15</v>
      </c>
      <c r="R28" s="13">
        <v>-64.7458877563477</v>
      </c>
      <c r="S28" s="13">
        <v>136.409286499023</v>
      </c>
      <c r="T28" s="3">
        <f t="shared" si="3"/>
        <v>5.882508299</v>
      </c>
      <c r="U28" s="18">
        <v>-64.4831097920736</v>
      </c>
      <c r="V28" s="18">
        <v>142.285922580295</v>
      </c>
    </row>
    <row r="29" ht="12.75" customHeight="1">
      <c r="A29" s="2"/>
      <c r="B29" s="2"/>
      <c r="C29" s="2"/>
      <c r="D29" s="7"/>
      <c r="E29" s="2"/>
      <c r="F29" s="2"/>
      <c r="G29" s="2" t="s">
        <v>21</v>
      </c>
      <c r="H29" s="13">
        <v>-49.8070793151855</v>
      </c>
      <c r="I29" s="13">
        <v>138.55712890625</v>
      </c>
      <c r="J29" s="7">
        <f t="shared" si="1"/>
        <v>15.14231729</v>
      </c>
      <c r="L29" s="2" t="s">
        <v>21</v>
      </c>
      <c r="M29" s="13">
        <v>-64.0231399536133</v>
      </c>
      <c r="N29" s="13">
        <v>137.756561279297</v>
      </c>
      <c r="O29" s="3">
        <f t="shared" si="2"/>
        <v>4.552657032</v>
      </c>
      <c r="P29" s="2"/>
      <c r="Q29" s="2" t="s">
        <v>21</v>
      </c>
      <c r="R29" s="13">
        <v>-36.4309577941895</v>
      </c>
      <c r="S29" s="13">
        <v>138.050643920898</v>
      </c>
      <c r="T29" s="3">
        <f t="shared" si="3"/>
        <v>28.37006903</v>
      </c>
      <c r="U29" s="18">
        <v>-64.4831097920736</v>
      </c>
      <c r="V29" s="18">
        <v>142.285922580295</v>
      </c>
    </row>
    <row r="30" ht="12.75" customHeight="1">
      <c r="A30" s="2"/>
      <c r="B30" s="2"/>
      <c r="C30" s="2"/>
      <c r="D30" s="7"/>
      <c r="E30" s="2"/>
      <c r="F30" s="2"/>
      <c r="G30" s="2" t="s">
        <v>7</v>
      </c>
      <c r="H30" s="13">
        <v>-56.9277191162109</v>
      </c>
      <c r="I30" s="13">
        <v>179.653182983398</v>
      </c>
      <c r="J30" s="7">
        <f t="shared" si="1"/>
        <v>38.12343214</v>
      </c>
      <c r="L30" s="2" t="s">
        <v>7</v>
      </c>
      <c r="M30" s="13">
        <v>-65.7385330200195</v>
      </c>
      <c r="N30" s="17">
        <f>-168.681518554688+360</f>
        <v>191.3184814</v>
      </c>
      <c r="O30" s="3">
        <f t="shared" si="2"/>
        <v>49.04862808</v>
      </c>
      <c r="P30" s="2"/>
      <c r="Q30" s="2" t="s">
        <v>7</v>
      </c>
      <c r="R30" s="13">
        <v>-58.5783729553223</v>
      </c>
      <c r="S30" s="11">
        <f>-173.082168579102+360</f>
        <v>186.9178314</v>
      </c>
      <c r="T30" s="3">
        <f t="shared" si="3"/>
        <v>45.02080857</v>
      </c>
      <c r="U30" s="18">
        <v>-64.4831097920736</v>
      </c>
      <c r="V30" s="18">
        <v>142.285922580295</v>
      </c>
    </row>
    <row r="31" ht="12.75" customHeight="1">
      <c r="A31" s="2"/>
      <c r="B31" s="2"/>
      <c r="C31" s="2"/>
      <c r="D31" s="7"/>
      <c r="E31" s="2"/>
      <c r="F31" s="2"/>
      <c r="G31" s="2" t="s">
        <v>15</v>
      </c>
      <c r="H31" s="13">
        <v>-66.6058044433594</v>
      </c>
      <c r="I31" s="13">
        <v>153.680572509766</v>
      </c>
      <c r="J31" s="7">
        <f t="shared" si="1"/>
        <v>11.59068072</v>
      </c>
      <c r="L31" s="2" t="s">
        <v>15</v>
      </c>
      <c r="M31" s="13">
        <v>-67.2127456665039</v>
      </c>
      <c r="N31" s="13">
        <v>153.019943237305</v>
      </c>
      <c r="O31" s="3">
        <f t="shared" si="2"/>
        <v>11.075654</v>
      </c>
      <c r="P31" s="2"/>
      <c r="Q31" s="2" t="s">
        <v>15</v>
      </c>
      <c r="R31" s="13">
        <v>-69.5019073486328</v>
      </c>
      <c r="S31" s="13">
        <v>135.314483642578</v>
      </c>
      <c r="T31" s="3">
        <f t="shared" si="3"/>
        <v>8.590069253</v>
      </c>
      <c r="U31" s="18">
        <v>-64.4831097920736</v>
      </c>
      <c r="V31" s="18">
        <v>142.285922580295</v>
      </c>
    </row>
    <row r="32" ht="12.75" customHeight="1">
      <c r="A32" s="2"/>
      <c r="B32" s="2"/>
      <c r="C32" s="2"/>
      <c r="D32" s="7"/>
      <c r="E32" s="2"/>
      <c r="F32" s="2"/>
      <c r="G32" s="2" t="s">
        <v>21</v>
      </c>
      <c r="H32" s="13">
        <v>-49.8455085754395</v>
      </c>
      <c r="I32" s="13">
        <v>127.287094116211</v>
      </c>
      <c r="J32" s="7">
        <f t="shared" si="1"/>
        <v>20.95767699</v>
      </c>
      <c r="L32" s="2" t="s">
        <v>21</v>
      </c>
      <c r="M32" s="13">
        <v>-33.0250511169434</v>
      </c>
      <c r="N32" s="13">
        <v>120.657844543457</v>
      </c>
      <c r="O32" s="3">
        <f t="shared" si="2"/>
        <v>38.1756888</v>
      </c>
      <c r="P32" s="2"/>
      <c r="Q32" s="2" t="s">
        <v>21</v>
      </c>
      <c r="R32" s="13">
        <v>-46.9642601013184</v>
      </c>
      <c r="S32" s="13">
        <v>145.6611328125</v>
      </c>
      <c r="T32" s="3">
        <f t="shared" si="3"/>
        <v>17.84102403</v>
      </c>
      <c r="U32" s="18">
        <v>-64.4831097920736</v>
      </c>
      <c r="V32" s="18">
        <v>142.285922580295</v>
      </c>
    </row>
    <row r="33" ht="12.75" customHeight="1">
      <c r="A33" s="2"/>
      <c r="B33" s="2"/>
      <c r="C33" s="2"/>
      <c r="D33" s="7"/>
      <c r="E33" s="2"/>
      <c r="F33" s="2"/>
      <c r="G33" s="2" t="s">
        <v>7</v>
      </c>
      <c r="H33" s="13">
        <v>-57.6908721923828</v>
      </c>
      <c r="I33" s="13">
        <v>167.167144775391</v>
      </c>
      <c r="J33" s="7">
        <f t="shared" si="1"/>
        <v>25.79165969</v>
      </c>
      <c r="L33" s="2" t="s">
        <v>7</v>
      </c>
      <c r="M33" s="13">
        <v>-64.089225769043</v>
      </c>
      <c r="N33" s="13">
        <v>176.734848022461</v>
      </c>
      <c r="O33" s="3">
        <f t="shared" si="2"/>
        <v>34.45117718</v>
      </c>
      <c r="P33" s="2"/>
      <c r="Q33" s="2" t="s">
        <v>7</v>
      </c>
      <c r="R33" s="13">
        <v>-89.362907409668</v>
      </c>
      <c r="S33" s="13">
        <v>30.4361019134521</v>
      </c>
      <c r="T33" s="3">
        <f t="shared" si="3"/>
        <v>114.583536</v>
      </c>
      <c r="U33" s="18">
        <v>-64.4831097920736</v>
      </c>
      <c r="V33" s="18">
        <v>142.285922580295</v>
      </c>
    </row>
    <row r="34" ht="12.75" customHeight="1">
      <c r="A34" s="2"/>
      <c r="B34" s="2"/>
      <c r="C34" s="2"/>
      <c r="D34" s="7"/>
      <c r="E34" s="2"/>
      <c r="F34" s="2"/>
      <c r="G34" s="2" t="s">
        <v>15</v>
      </c>
      <c r="H34" s="13">
        <v>-59.3488578796387</v>
      </c>
      <c r="I34" s="13">
        <v>144.910522460938</v>
      </c>
      <c r="J34" s="7">
        <f t="shared" si="1"/>
        <v>5.766200416</v>
      </c>
      <c r="L34" s="2" t="s">
        <v>15</v>
      </c>
      <c r="M34" s="13">
        <v>-54.2186088562012</v>
      </c>
      <c r="N34" s="13">
        <v>151.689758300781</v>
      </c>
      <c r="O34" s="3">
        <f t="shared" si="2"/>
        <v>13.92092331</v>
      </c>
      <c r="P34" s="2"/>
      <c r="Q34" s="2" t="s">
        <v>15</v>
      </c>
      <c r="R34" s="13">
        <v>67.1169052124023</v>
      </c>
      <c r="S34" s="13">
        <v>153.391387939453</v>
      </c>
      <c r="T34" s="3">
        <f t="shared" si="3"/>
        <v>132.0677679</v>
      </c>
      <c r="U34" s="18">
        <v>-64.4831097920736</v>
      </c>
      <c r="V34" s="18">
        <v>142.285922580295</v>
      </c>
    </row>
    <row r="35" ht="12.75" customHeight="1">
      <c r="A35" s="2"/>
      <c r="B35" s="2"/>
      <c r="C35" s="2"/>
      <c r="D35" s="7"/>
      <c r="E35" s="2"/>
      <c r="F35" s="2"/>
      <c r="G35" s="2" t="s">
        <v>21</v>
      </c>
      <c r="H35" s="13">
        <v>-48.4908790588379</v>
      </c>
      <c r="I35" s="13">
        <v>127.196990966797</v>
      </c>
      <c r="J35" s="7">
        <f t="shared" si="1"/>
        <v>21.98698026</v>
      </c>
      <c r="L35" s="2" t="s">
        <v>21</v>
      </c>
      <c r="M35" s="13">
        <v>-43.0509262084961</v>
      </c>
      <c r="N35" s="13">
        <v>143.022735595703</v>
      </c>
      <c r="O35" s="3">
        <f t="shared" si="2"/>
        <v>21.44484522</v>
      </c>
      <c r="P35" s="2"/>
      <c r="Q35" s="2" t="s">
        <v>21</v>
      </c>
      <c r="R35" s="13">
        <v>-40.1643371582031</v>
      </c>
      <c r="S35" s="13">
        <v>133.761642456055</v>
      </c>
      <c r="T35" s="3">
        <f t="shared" si="3"/>
        <v>25.76947912</v>
      </c>
      <c r="U35" s="18">
        <v>-64.4831097920736</v>
      </c>
      <c r="V35" s="18">
        <v>142.285922580295</v>
      </c>
    </row>
    <row r="36" ht="12.75" customHeight="1">
      <c r="A36" s="2"/>
      <c r="B36" s="2"/>
      <c r="C36" s="2"/>
      <c r="D36" s="7"/>
      <c r="E36" s="2"/>
      <c r="F36" s="2"/>
      <c r="G36" s="2" t="s">
        <v>7</v>
      </c>
      <c r="H36" s="13">
        <v>-58.7983131408691</v>
      </c>
      <c r="I36" s="19">
        <v>169.026504516602</v>
      </c>
      <c r="J36" s="7">
        <f t="shared" si="1"/>
        <v>27.33817176</v>
      </c>
      <c r="L36" s="2" t="s">
        <v>7</v>
      </c>
      <c r="M36" s="13">
        <v>-63.8348388671875</v>
      </c>
      <c r="N36" s="13">
        <v>167.849227905273</v>
      </c>
      <c r="O36" s="3">
        <f t="shared" si="2"/>
        <v>25.5715239</v>
      </c>
      <c r="P36" s="2"/>
      <c r="Q36" s="2" t="s">
        <v>7</v>
      </c>
      <c r="R36" s="13">
        <v>-62.7216606140137</v>
      </c>
      <c r="S36" s="17">
        <f>-175.387283325195+360</f>
        <v>184.6127167</v>
      </c>
      <c r="T36" s="3">
        <f t="shared" si="3"/>
        <v>42.36343</v>
      </c>
      <c r="U36" s="18">
        <v>-64.4831097920736</v>
      </c>
      <c r="V36" s="18">
        <v>142.285922580295</v>
      </c>
    </row>
    <row r="37" ht="12.75" customHeight="1">
      <c r="A37" s="2"/>
      <c r="B37" s="2"/>
      <c r="C37" s="2"/>
      <c r="D37" s="7"/>
      <c r="E37" s="2"/>
      <c r="F37" s="2"/>
      <c r="G37" s="2" t="s">
        <v>15</v>
      </c>
      <c r="H37" s="13">
        <v>-70.9360656738281</v>
      </c>
      <c r="I37" s="13">
        <v>118.697128295898</v>
      </c>
      <c r="J37" s="7">
        <f t="shared" si="1"/>
        <v>24.45550767</v>
      </c>
      <c r="L37" s="2" t="s">
        <v>15</v>
      </c>
      <c r="M37" s="13">
        <v>-63.3563499450684</v>
      </c>
      <c r="N37" s="13">
        <v>144.26936340332</v>
      </c>
      <c r="O37" s="3">
        <f t="shared" si="2"/>
        <v>2.281145601</v>
      </c>
      <c r="P37" s="2"/>
      <c r="Q37" s="2" t="s">
        <v>15</v>
      </c>
      <c r="R37" s="13">
        <v>-69.6251907348633</v>
      </c>
      <c r="S37" s="13">
        <v>152.137084960938</v>
      </c>
      <c r="T37" s="3">
        <f t="shared" si="3"/>
        <v>11.11244333</v>
      </c>
      <c r="U37" s="18">
        <v>-64.4831097920736</v>
      </c>
      <c r="V37" s="18">
        <v>142.285922580295</v>
      </c>
    </row>
    <row r="38" ht="12.75" customHeight="1">
      <c r="A38" s="2"/>
      <c r="B38" s="2"/>
      <c r="C38" s="2"/>
      <c r="D38" s="7"/>
      <c r="E38" s="2"/>
      <c r="F38" s="2"/>
      <c r="G38" s="2" t="s">
        <v>21</v>
      </c>
      <c r="H38" s="13">
        <v>-46.5364494323731</v>
      </c>
      <c r="I38" s="13">
        <v>138.465423583984</v>
      </c>
      <c r="J38" s="7">
        <f t="shared" si="1"/>
        <v>18.34881006</v>
      </c>
      <c r="L38" s="2" t="s">
        <v>21</v>
      </c>
      <c r="M38" s="13">
        <v>-48.5942993164062</v>
      </c>
      <c r="N38" s="13">
        <v>149.960372924805</v>
      </c>
      <c r="O38" s="3">
        <f t="shared" si="2"/>
        <v>17.64515476</v>
      </c>
      <c r="P38" s="2"/>
      <c r="Q38" s="2" t="s">
        <v>21</v>
      </c>
      <c r="R38" s="13">
        <v>-38.357593536377</v>
      </c>
      <c r="S38" s="13">
        <v>148.070175170898</v>
      </c>
      <c r="T38" s="3">
        <f t="shared" si="3"/>
        <v>26.75817964</v>
      </c>
      <c r="U38" s="18">
        <v>-64.4831097920736</v>
      </c>
      <c r="V38" s="18">
        <v>142.285922580295</v>
      </c>
    </row>
    <row r="39" ht="12.75" customHeight="1">
      <c r="A39" s="2"/>
      <c r="B39" s="2"/>
      <c r="C39" s="2"/>
      <c r="D39" s="7"/>
      <c r="E39" s="2"/>
      <c r="F39" s="2"/>
      <c r="G39" s="2" t="s">
        <v>7</v>
      </c>
      <c r="H39" s="13">
        <v>47.386890411377</v>
      </c>
      <c r="I39" s="13">
        <v>0.0</v>
      </c>
      <c r="J39" s="7">
        <f t="shared" si="1"/>
        <v>180.9977368</v>
      </c>
      <c r="L39" s="2" t="s">
        <v>7</v>
      </c>
      <c r="M39" s="13">
        <v>-76.6593246459961</v>
      </c>
      <c r="N39" s="13">
        <v>0.0</v>
      </c>
      <c r="O39" s="3">
        <f t="shared" si="2"/>
        <v>142.8059662</v>
      </c>
      <c r="P39" s="2"/>
      <c r="Q39" s="2" t="s">
        <v>7</v>
      </c>
      <c r="R39" s="13">
        <v>-77.8974838256836</v>
      </c>
      <c r="S39" s="13">
        <v>0.0</v>
      </c>
      <c r="T39" s="3">
        <f t="shared" si="3"/>
        <v>142.9168611</v>
      </c>
      <c r="U39" s="18">
        <v>-64.4831097920736</v>
      </c>
      <c r="V39" s="18">
        <v>142.285922580295</v>
      </c>
    </row>
    <row r="40" ht="12.75" customHeight="1">
      <c r="U40" s="18">
        <v>-64.4831097920736</v>
      </c>
      <c r="V40" s="18">
        <v>142.285922580295</v>
      </c>
    </row>
    <row r="41" ht="12.75" customHeight="1">
      <c r="B41" s="1"/>
      <c r="H41" s="1" t="s">
        <v>16</v>
      </c>
      <c r="L41" s="8" t="s">
        <v>17</v>
      </c>
      <c r="M41" s="8" t="s">
        <v>22</v>
      </c>
    </row>
    <row r="42" ht="12.75" customHeight="1">
      <c r="B42" s="2"/>
      <c r="C42" s="3"/>
      <c r="E42" s="3"/>
      <c r="F42" s="3"/>
      <c r="H42" s="2" t="s">
        <v>19</v>
      </c>
      <c r="I42" s="3">
        <f t="shared" ref="I42:I79" si="4">AVERAGE(J2,O2,T2)</f>
        <v>72.2994321</v>
      </c>
      <c r="K42" s="3">
        <v>71.934206455097</v>
      </c>
      <c r="L42" s="3">
        <f t="shared" ref="L42:L79" si="5">STDEV(J2,O2,T2)</f>
        <v>7.245394598</v>
      </c>
      <c r="M42" s="7">
        <f t="shared" ref="M42:M79" si="6">L42/SQRT(3)</f>
        <v>4.183130521</v>
      </c>
    </row>
    <row r="43" ht="12.75" customHeight="1">
      <c r="B43" s="2"/>
      <c r="C43" s="3"/>
      <c r="E43" s="3"/>
      <c r="F43" s="3"/>
      <c r="H43" s="2" t="s">
        <v>7</v>
      </c>
      <c r="I43" s="3">
        <f t="shared" si="4"/>
        <v>135.2950979</v>
      </c>
      <c r="K43" s="3">
        <v>123.949106963662</v>
      </c>
      <c r="L43" s="3">
        <f t="shared" si="5"/>
        <v>4.657216155</v>
      </c>
      <c r="M43" s="7">
        <f t="shared" si="6"/>
        <v>2.688845001</v>
      </c>
    </row>
    <row r="44" ht="12.75" customHeight="1">
      <c r="B44" s="2"/>
      <c r="C44" s="3"/>
      <c r="E44" s="3"/>
      <c r="F44" s="3"/>
      <c r="H44" s="2" t="s">
        <v>8</v>
      </c>
      <c r="I44" s="3">
        <f t="shared" si="4"/>
        <v>24.01754968</v>
      </c>
      <c r="K44" s="3">
        <v>33.5044674353153</v>
      </c>
      <c r="L44" s="3">
        <f t="shared" si="5"/>
        <v>9.567972946</v>
      </c>
      <c r="M44" s="7">
        <f t="shared" si="6"/>
        <v>5.524071756</v>
      </c>
    </row>
    <row r="45" ht="12.75" customHeight="1">
      <c r="B45" s="2"/>
      <c r="C45" s="3"/>
      <c r="E45" s="3"/>
      <c r="F45" s="3"/>
      <c r="H45" s="2" t="s">
        <v>20</v>
      </c>
      <c r="I45" s="3">
        <f t="shared" si="4"/>
        <v>60.22949701</v>
      </c>
      <c r="K45" s="3">
        <v>73.5136195424533</v>
      </c>
      <c r="L45" s="3">
        <f t="shared" si="5"/>
        <v>59.83608007</v>
      </c>
      <c r="M45" s="7">
        <f t="shared" si="6"/>
        <v>34.54637694</v>
      </c>
      <c r="P45" s="10">
        <v>-65.7656021118164</v>
      </c>
      <c r="Q45" s="10">
        <v>148.562133789063</v>
      </c>
    </row>
    <row r="46" ht="12.75" customHeight="1">
      <c r="B46" s="2"/>
      <c r="C46" s="3"/>
      <c r="E46" s="3"/>
      <c r="F46" s="3"/>
      <c r="H46" s="2" t="s">
        <v>7</v>
      </c>
      <c r="I46" s="3">
        <f t="shared" si="4"/>
        <v>113.2767145</v>
      </c>
      <c r="K46" s="3">
        <v>107.321864191733</v>
      </c>
      <c r="L46" s="3">
        <f t="shared" si="5"/>
        <v>75.17933259</v>
      </c>
      <c r="M46" s="7">
        <f t="shared" si="6"/>
        <v>43.40480791</v>
      </c>
      <c r="P46" s="10">
        <v>-63.8252830505371</v>
      </c>
      <c r="Q46" s="10">
        <v>141.597640991211</v>
      </c>
    </row>
    <row r="47" ht="12.75" customHeight="1">
      <c r="B47" s="2"/>
      <c r="C47" s="3"/>
      <c r="E47" s="3"/>
      <c r="F47" s="3"/>
      <c r="H47" s="2" t="s">
        <v>8</v>
      </c>
      <c r="I47" s="3">
        <f t="shared" si="4"/>
        <v>14.22097355</v>
      </c>
      <c r="K47" s="3">
        <v>26.0371001552945</v>
      </c>
      <c r="L47" s="3">
        <f t="shared" si="5"/>
        <v>2.43365856</v>
      </c>
      <c r="M47" s="7">
        <f t="shared" si="6"/>
        <v>1.405073425</v>
      </c>
      <c r="P47" s="10">
        <v>-60.317928314209</v>
      </c>
      <c r="Q47" s="10">
        <v>139.76383972168</v>
      </c>
    </row>
    <row r="48" ht="12.75" customHeight="1">
      <c r="B48" s="2"/>
      <c r="C48" s="3"/>
      <c r="E48" s="3"/>
      <c r="F48" s="3"/>
      <c r="H48" s="2" t="s">
        <v>20</v>
      </c>
      <c r="I48" s="3">
        <f t="shared" si="4"/>
        <v>25.35095152</v>
      </c>
      <c r="K48" s="3">
        <v>19.3926183182707</v>
      </c>
      <c r="L48" s="3">
        <f t="shared" si="5"/>
        <v>10.59309597</v>
      </c>
      <c r="M48" s="7">
        <f t="shared" si="6"/>
        <v>6.115926811</v>
      </c>
      <c r="P48" s="10">
        <v>-62.1723709106445</v>
      </c>
      <c r="Q48" s="10">
        <v>147.573471069336</v>
      </c>
    </row>
    <row r="49" ht="12.75" customHeight="1">
      <c r="B49" s="2"/>
      <c r="C49" s="3"/>
      <c r="E49" s="3"/>
      <c r="F49" s="3"/>
      <c r="H49" s="2" t="s">
        <v>7</v>
      </c>
      <c r="I49" s="3">
        <f t="shared" si="4"/>
        <v>42.52510495</v>
      </c>
      <c r="K49" s="3">
        <v>26.9594120498631</v>
      </c>
      <c r="L49" s="3">
        <f t="shared" si="5"/>
        <v>3.043724575</v>
      </c>
      <c r="M49" s="7">
        <f t="shared" si="6"/>
        <v>1.757295203</v>
      </c>
      <c r="P49" s="10">
        <v>-64.0231399536133</v>
      </c>
      <c r="Q49" s="10">
        <v>137.756561279297</v>
      </c>
    </row>
    <row r="50" ht="12.75" customHeight="1">
      <c r="B50" s="2"/>
      <c r="C50" s="3"/>
      <c r="E50" s="3"/>
      <c r="F50" s="3"/>
      <c r="H50" s="2" t="s">
        <v>8</v>
      </c>
      <c r="I50" s="3">
        <f t="shared" si="4"/>
        <v>10.90844651</v>
      </c>
      <c r="K50" s="3">
        <v>13.85419752987</v>
      </c>
      <c r="L50" s="3">
        <f t="shared" si="5"/>
        <v>8.355026116</v>
      </c>
      <c r="M50" s="7">
        <f t="shared" si="6"/>
        <v>4.823776577</v>
      </c>
      <c r="P50" s="10">
        <v>-63.3563499450684</v>
      </c>
      <c r="Q50" s="10">
        <v>144.26936340332</v>
      </c>
    </row>
    <row r="51" ht="12.75" customHeight="1">
      <c r="B51" s="2"/>
      <c r="C51" s="3"/>
      <c r="E51" s="3"/>
      <c r="F51" s="3"/>
      <c r="H51" s="2" t="s">
        <v>20</v>
      </c>
      <c r="I51" s="3">
        <f t="shared" si="4"/>
        <v>10.6906465</v>
      </c>
      <c r="K51" s="3">
        <v>14.5506086853734</v>
      </c>
      <c r="L51" s="3">
        <f t="shared" si="5"/>
        <v>4.336044947</v>
      </c>
      <c r="M51" s="7">
        <f t="shared" si="6"/>
        <v>2.503416718</v>
      </c>
      <c r="P51" s="10">
        <v>-66.639518737793</v>
      </c>
      <c r="Q51" s="10">
        <v>149.326522827148</v>
      </c>
    </row>
    <row r="52" ht="12.75" customHeight="1">
      <c r="B52" s="2"/>
      <c r="C52" s="3"/>
      <c r="E52" s="3"/>
      <c r="F52" s="3"/>
      <c r="H52" s="2" t="s">
        <v>7</v>
      </c>
      <c r="I52" s="3">
        <f t="shared" si="4"/>
        <v>29.57525718</v>
      </c>
      <c r="K52" s="3">
        <v>29.5236445901694</v>
      </c>
      <c r="L52" s="3">
        <f t="shared" si="5"/>
        <v>6.51272941</v>
      </c>
      <c r="M52" s="7">
        <f t="shared" si="6"/>
        <v>3.760126078</v>
      </c>
      <c r="P52" s="10">
        <v>-64.7458877563477</v>
      </c>
      <c r="Q52" s="10">
        <v>136.409286499023</v>
      </c>
    </row>
    <row r="53" ht="12.75" customHeight="1">
      <c r="B53" s="2"/>
      <c r="C53" s="3"/>
      <c r="E53" s="3"/>
      <c r="F53" s="3"/>
      <c r="H53" s="2" t="s">
        <v>8</v>
      </c>
      <c r="I53" s="3">
        <f t="shared" si="4"/>
        <v>18.12435115</v>
      </c>
      <c r="K53" s="3">
        <v>13.6523538402022</v>
      </c>
      <c r="L53" s="3">
        <f t="shared" si="5"/>
        <v>5.940125569</v>
      </c>
      <c r="M53" s="7">
        <f t="shared" si="6"/>
        <v>3.429533096</v>
      </c>
      <c r="P53" s="10">
        <v>-69.5019073486328</v>
      </c>
      <c r="Q53" s="10">
        <v>135.314483642578</v>
      </c>
    </row>
    <row r="54" ht="12.75" customHeight="1">
      <c r="B54" s="2"/>
      <c r="C54" s="3"/>
      <c r="E54" s="3"/>
      <c r="F54" s="3"/>
      <c r="H54" s="2" t="s">
        <v>20</v>
      </c>
      <c r="I54" s="3">
        <f t="shared" si="4"/>
        <v>16.03954422</v>
      </c>
      <c r="K54" s="3">
        <v>8.08485562416847</v>
      </c>
      <c r="L54" s="3">
        <f t="shared" si="5"/>
        <v>5.110379794</v>
      </c>
      <c r="M54" s="7">
        <f t="shared" si="6"/>
        <v>2.95047915</v>
      </c>
    </row>
    <row r="55" ht="12.75" customHeight="1">
      <c r="B55" s="2"/>
      <c r="C55" s="3"/>
      <c r="E55" s="3"/>
      <c r="F55" s="3"/>
      <c r="H55" s="2" t="s">
        <v>7</v>
      </c>
      <c r="I55" s="3">
        <f t="shared" si="4"/>
        <v>25.71735937</v>
      </c>
      <c r="K55" s="3">
        <v>29.3415198952633</v>
      </c>
      <c r="L55" s="3">
        <f t="shared" si="5"/>
        <v>7.567442077</v>
      </c>
      <c r="M55" s="7">
        <f t="shared" si="6"/>
        <v>4.36906472</v>
      </c>
    </row>
    <row r="56" ht="12.75" customHeight="1">
      <c r="B56" s="2"/>
      <c r="C56" s="3"/>
      <c r="E56" s="3"/>
      <c r="F56" s="3"/>
      <c r="H56" s="2" t="s">
        <v>8</v>
      </c>
      <c r="I56" s="3">
        <f t="shared" si="4"/>
        <v>10.30327843</v>
      </c>
      <c r="K56" s="3">
        <v>28.5725853036573</v>
      </c>
      <c r="L56" s="3">
        <f t="shared" si="5"/>
        <v>4.990323105</v>
      </c>
      <c r="M56" s="7">
        <f t="shared" si="6"/>
        <v>2.881164388</v>
      </c>
      <c r="O56" s="8" t="s">
        <v>23</v>
      </c>
      <c r="P56" s="9">
        <f t="shared" ref="P56:Q56" si="7">AVERAGE(P45:P53)</f>
        <v>-64.48310979</v>
      </c>
      <c r="Q56" s="9">
        <f t="shared" si="7"/>
        <v>142.2859226</v>
      </c>
    </row>
    <row r="57" ht="12.75" customHeight="1">
      <c r="B57" s="2"/>
      <c r="C57" s="3"/>
      <c r="E57" s="3"/>
      <c r="F57" s="3"/>
      <c r="H57" s="2" t="s">
        <v>21</v>
      </c>
      <c r="I57" s="3">
        <f t="shared" si="4"/>
        <v>26.0092662</v>
      </c>
      <c r="K57" s="3">
        <v>23.5197007651978</v>
      </c>
      <c r="L57" s="3">
        <f t="shared" si="5"/>
        <v>11.33368743</v>
      </c>
      <c r="M57" s="7">
        <f t="shared" si="6"/>
        <v>6.543507491</v>
      </c>
      <c r="O57" s="8" t="s">
        <v>24</v>
      </c>
      <c r="P57" s="9">
        <f t="shared" ref="P57:Q57" si="8">STDEV(P45:P53)</f>
        <v>2.649396493</v>
      </c>
      <c r="Q57" s="9">
        <f t="shared" si="8"/>
        <v>5.377483674</v>
      </c>
    </row>
    <row r="58" ht="12.75" customHeight="1">
      <c r="B58" s="2"/>
      <c r="C58" s="3"/>
      <c r="E58" s="3"/>
      <c r="F58" s="3"/>
      <c r="H58" s="2" t="s">
        <v>7</v>
      </c>
      <c r="I58" s="3">
        <f t="shared" si="4"/>
        <v>31.40882238</v>
      </c>
      <c r="K58" s="3">
        <v>37.2134884914141</v>
      </c>
      <c r="L58" s="3">
        <f t="shared" si="5"/>
        <v>15.58715156</v>
      </c>
      <c r="M58" s="7">
        <f t="shared" si="6"/>
        <v>8.999246148</v>
      </c>
    </row>
    <row r="59" ht="12.75" customHeight="1">
      <c r="B59" s="2"/>
      <c r="C59" s="3"/>
      <c r="E59" s="3"/>
      <c r="F59" s="3"/>
      <c r="H59" s="2" t="s">
        <v>8</v>
      </c>
      <c r="I59" s="3">
        <f t="shared" si="4"/>
        <v>11.84852472</v>
      </c>
      <c r="K59" s="3">
        <v>11.9191067816356</v>
      </c>
      <c r="L59" s="3">
        <f t="shared" si="5"/>
        <v>9.579529745</v>
      </c>
      <c r="M59" s="7">
        <f t="shared" si="6"/>
        <v>5.530744077</v>
      </c>
    </row>
    <row r="60" ht="12.75" customHeight="1">
      <c r="B60" s="2"/>
      <c r="C60" s="3"/>
      <c r="E60" s="3"/>
      <c r="F60" s="3"/>
      <c r="H60" s="2" t="s">
        <v>21</v>
      </c>
      <c r="I60" s="3">
        <f t="shared" si="4"/>
        <v>31.17179746</v>
      </c>
      <c r="K60" s="3">
        <v>20.3649551665633</v>
      </c>
      <c r="L60" s="3">
        <f t="shared" si="5"/>
        <v>3.62884877</v>
      </c>
      <c r="M60" s="7">
        <f t="shared" si="6"/>
        <v>2.095116814</v>
      </c>
    </row>
    <row r="61" ht="12.75" customHeight="1">
      <c r="B61" s="2"/>
      <c r="C61" s="3"/>
      <c r="E61" s="3"/>
      <c r="F61" s="3"/>
      <c r="H61" s="2" t="s">
        <v>7</v>
      </c>
      <c r="I61" s="3">
        <f t="shared" si="4"/>
        <v>30.2571264</v>
      </c>
      <c r="K61" s="3">
        <v>40.0484967013321</v>
      </c>
      <c r="L61" s="3">
        <f t="shared" si="5"/>
        <v>1.452417603</v>
      </c>
      <c r="M61" s="7">
        <f t="shared" si="6"/>
        <v>0.8385536939</v>
      </c>
    </row>
    <row r="62" ht="12.75" customHeight="1">
      <c r="B62" s="2"/>
      <c r="C62" s="3"/>
      <c r="E62" s="3"/>
      <c r="F62" s="3"/>
      <c r="H62" s="2" t="s">
        <v>8</v>
      </c>
      <c r="I62" s="3">
        <f t="shared" si="4"/>
        <v>18.33804046</v>
      </c>
      <c r="K62" s="3">
        <v>16.7315769858946</v>
      </c>
      <c r="L62" s="3">
        <f t="shared" si="5"/>
        <v>2.175866446</v>
      </c>
      <c r="M62" s="7">
        <f t="shared" si="6"/>
        <v>1.256237078</v>
      </c>
    </row>
    <row r="63" ht="12.75" customHeight="1">
      <c r="B63" s="2"/>
      <c r="C63" s="3"/>
      <c r="E63" s="3"/>
      <c r="F63" s="3"/>
      <c r="H63" s="2" t="s">
        <v>21</v>
      </c>
      <c r="I63" s="3">
        <f t="shared" si="4"/>
        <v>25.65057605</v>
      </c>
      <c r="K63" s="3">
        <v>20.2258515382697</v>
      </c>
      <c r="L63" s="3">
        <f t="shared" si="5"/>
        <v>9.40027543</v>
      </c>
      <c r="M63" s="7">
        <f t="shared" si="6"/>
        <v>5.42725155</v>
      </c>
    </row>
    <row r="64" ht="12.75" customHeight="1">
      <c r="B64" s="2"/>
      <c r="C64" s="3"/>
      <c r="E64" s="3"/>
      <c r="F64" s="3"/>
      <c r="H64" s="2" t="s">
        <v>7</v>
      </c>
      <c r="I64" s="3">
        <f t="shared" si="4"/>
        <v>33.45742349</v>
      </c>
      <c r="K64" s="3">
        <v>44.224801317219</v>
      </c>
      <c r="L64" s="3">
        <f t="shared" si="5"/>
        <v>8.961998345</v>
      </c>
      <c r="M64" s="7">
        <f t="shared" si="6"/>
        <v>5.174212157</v>
      </c>
    </row>
    <row r="65" ht="12.75" customHeight="1">
      <c r="B65" s="2"/>
      <c r="C65" s="3"/>
      <c r="E65" s="3"/>
      <c r="F65" s="3"/>
      <c r="H65" s="2" t="s">
        <v>8</v>
      </c>
      <c r="I65" s="3">
        <f t="shared" si="4"/>
        <v>9.416650145</v>
      </c>
      <c r="K65" s="3">
        <v>27.831895011319</v>
      </c>
      <c r="L65" s="3">
        <f t="shared" si="5"/>
        <v>5.506968376</v>
      </c>
      <c r="M65" s="7">
        <f t="shared" si="6"/>
        <v>3.179449674</v>
      </c>
    </row>
    <row r="66" ht="12.75" customHeight="1">
      <c r="B66" s="2"/>
      <c r="C66" s="3"/>
      <c r="E66" s="3"/>
      <c r="F66" s="3"/>
      <c r="H66" s="2" t="s">
        <v>21</v>
      </c>
      <c r="I66" s="3">
        <f t="shared" si="4"/>
        <v>27.15090958</v>
      </c>
      <c r="K66" s="3">
        <v>19.3644280431731</v>
      </c>
      <c r="L66" s="3">
        <f t="shared" si="5"/>
        <v>5.858772865</v>
      </c>
      <c r="M66" s="7">
        <f t="shared" si="6"/>
        <v>3.382564091</v>
      </c>
    </row>
    <row r="67" ht="12.75" customHeight="1">
      <c r="B67" s="2"/>
      <c r="C67" s="3"/>
      <c r="E67" s="3"/>
      <c r="F67" s="3"/>
      <c r="H67" s="2" t="s">
        <v>7</v>
      </c>
      <c r="I67" s="3">
        <f t="shared" si="4"/>
        <v>32.82216449</v>
      </c>
      <c r="K67" s="3">
        <v>28.0442308969247</v>
      </c>
      <c r="L67" s="3">
        <f t="shared" si="5"/>
        <v>5.948157888</v>
      </c>
      <c r="M67" s="7">
        <f t="shared" si="6"/>
        <v>3.434170558</v>
      </c>
    </row>
    <row r="68" ht="12.75" customHeight="1">
      <c r="B68" s="2"/>
      <c r="C68" s="3"/>
      <c r="E68" s="3"/>
      <c r="F68" s="3"/>
      <c r="H68" s="2" t="s">
        <v>15</v>
      </c>
      <c r="I68" s="3">
        <f t="shared" si="4"/>
        <v>13.14067273</v>
      </c>
      <c r="K68" s="3">
        <v>6.61335906879207</v>
      </c>
      <c r="L68" s="3">
        <f t="shared" si="5"/>
        <v>6.53250538</v>
      </c>
      <c r="M68" s="7">
        <f t="shared" si="6"/>
        <v>3.77154374</v>
      </c>
    </row>
    <row r="69" ht="12.75" customHeight="1">
      <c r="B69" s="2"/>
      <c r="C69" s="3"/>
      <c r="E69" s="3"/>
      <c r="F69" s="3"/>
      <c r="H69" s="2" t="s">
        <v>21</v>
      </c>
      <c r="I69" s="3">
        <f t="shared" si="4"/>
        <v>16.02168112</v>
      </c>
      <c r="K69" s="3">
        <v>21.3159853587223</v>
      </c>
      <c r="L69" s="3">
        <f t="shared" si="5"/>
        <v>11.93303143</v>
      </c>
      <c r="M69" s="7">
        <f t="shared" si="6"/>
        <v>6.88953891</v>
      </c>
    </row>
    <row r="70" ht="12.75" customHeight="1">
      <c r="B70" s="2"/>
      <c r="C70" s="3"/>
      <c r="E70" s="3"/>
      <c r="F70" s="3"/>
      <c r="H70" s="2" t="s">
        <v>7</v>
      </c>
      <c r="I70" s="3">
        <f t="shared" si="4"/>
        <v>44.0642896</v>
      </c>
      <c r="K70" s="3">
        <v>38.9588444997717</v>
      </c>
      <c r="L70" s="3">
        <f t="shared" si="5"/>
        <v>5.525049589</v>
      </c>
      <c r="M70" s="7">
        <f t="shared" si="6"/>
        <v>3.189888868</v>
      </c>
    </row>
    <row r="71" ht="12.75" customHeight="1">
      <c r="B71" s="2"/>
      <c r="C71" s="3"/>
      <c r="E71" s="3"/>
      <c r="F71" s="3"/>
      <c r="H71" s="2" t="s">
        <v>15</v>
      </c>
      <c r="I71" s="3">
        <f t="shared" si="4"/>
        <v>10.41880132</v>
      </c>
      <c r="K71" s="3">
        <v>8.94112399638795</v>
      </c>
      <c r="L71" s="3">
        <f t="shared" si="5"/>
        <v>1.604527617</v>
      </c>
      <c r="M71" s="7">
        <f t="shared" si="6"/>
        <v>0.9263744513</v>
      </c>
    </row>
    <row r="72" ht="12.75" customHeight="1">
      <c r="B72" s="2"/>
      <c r="C72" s="3"/>
      <c r="E72" s="3"/>
      <c r="F72" s="3"/>
      <c r="H72" s="2" t="s">
        <v>21</v>
      </c>
      <c r="I72" s="3">
        <f t="shared" si="4"/>
        <v>25.65812994</v>
      </c>
      <c r="K72" s="3">
        <v>19.9920196254413</v>
      </c>
      <c r="L72" s="3">
        <f t="shared" si="5"/>
        <v>10.95195605</v>
      </c>
      <c r="M72" s="7">
        <f t="shared" si="6"/>
        <v>6.323114771</v>
      </c>
    </row>
    <row r="73" ht="12.75" customHeight="1">
      <c r="B73" s="2"/>
      <c r="C73" s="3"/>
      <c r="E73" s="3"/>
      <c r="F73" s="3"/>
      <c r="H73" s="2" t="s">
        <v>7</v>
      </c>
      <c r="I73" s="3">
        <f t="shared" si="4"/>
        <v>58.27545761</v>
      </c>
      <c r="K73" s="3">
        <v>51.7827994777754</v>
      </c>
      <c r="L73" s="3">
        <f t="shared" si="5"/>
        <v>48.95606782</v>
      </c>
      <c r="M73" s="7">
        <f t="shared" si="6"/>
        <v>28.26479893</v>
      </c>
    </row>
    <row r="74" ht="12.75" customHeight="1">
      <c r="B74" s="2"/>
      <c r="C74" s="3"/>
      <c r="E74" s="3"/>
      <c r="F74" s="3"/>
      <c r="H74" s="2" t="s">
        <v>15</v>
      </c>
      <c r="I74" s="3">
        <f t="shared" si="4"/>
        <v>50.58496386</v>
      </c>
      <c r="K74" s="3">
        <v>59.3300387748468</v>
      </c>
      <c r="L74" s="3">
        <f t="shared" si="5"/>
        <v>70.68387643</v>
      </c>
      <c r="M74" s="7">
        <f t="shared" si="6"/>
        <v>40.80935509</v>
      </c>
    </row>
    <row r="75" ht="12.75" customHeight="1">
      <c r="B75" s="2"/>
      <c r="C75" s="3"/>
      <c r="E75" s="3"/>
      <c r="F75" s="3"/>
      <c r="H75" s="2" t="s">
        <v>21</v>
      </c>
      <c r="I75" s="3">
        <f t="shared" si="4"/>
        <v>23.06710153</v>
      </c>
      <c r="K75" s="3">
        <v>22.9014463636111</v>
      </c>
      <c r="L75" s="3">
        <f t="shared" si="5"/>
        <v>2.355973484</v>
      </c>
      <c r="M75" s="7">
        <f t="shared" si="6"/>
        <v>1.360221925</v>
      </c>
    </row>
    <row r="76" ht="12.75" customHeight="1">
      <c r="B76" s="2"/>
      <c r="C76" s="3"/>
      <c r="E76" s="3"/>
      <c r="F76" s="3"/>
      <c r="H76" s="2" t="s">
        <v>7</v>
      </c>
      <c r="I76" s="3">
        <f t="shared" si="4"/>
        <v>31.75770855</v>
      </c>
      <c r="K76" s="3">
        <v>34.0287181021842</v>
      </c>
      <c r="L76" s="3">
        <f t="shared" si="5"/>
        <v>9.227202001</v>
      </c>
      <c r="M76" s="7">
        <f t="shared" si="6"/>
        <v>5.327327559</v>
      </c>
    </row>
    <row r="77" ht="12.75" customHeight="1">
      <c r="B77" s="2"/>
      <c r="C77" s="3"/>
      <c r="E77" s="3"/>
      <c r="F77" s="3"/>
      <c r="H77" s="2" t="s">
        <v>15</v>
      </c>
      <c r="I77" s="3">
        <f t="shared" si="4"/>
        <v>12.61636553</v>
      </c>
      <c r="K77" s="3">
        <v>26.679687426085</v>
      </c>
      <c r="L77" s="3">
        <f t="shared" si="5"/>
        <v>11.16341882</v>
      </c>
      <c r="M77" s="7">
        <f t="shared" si="6"/>
        <v>6.445202862</v>
      </c>
    </row>
    <row r="78" ht="12.75" customHeight="1">
      <c r="B78" s="2"/>
      <c r="C78" s="3"/>
      <c r="E78" s="3"/>
      <c r="F78" s="3"/>
      <c r="H78" s="2" t="s">
        <v>21</v>
      </c>
      <c r="I78" s="3">
        <f t="shared" si="4"/>
        <v>20.91738149</v>
      </c>
      <c r="K78" s="3">
        <v>15.0779795444002</v>
      </c>
      <c r="L78" s="3">
        <f t="shared" si="5"/>
        <v>5.070500469</v>
      </c>
      <c r="M78" s="7">
        <f t="shared" si="6"/>
        <v>2.927454811</v>
      </c>
    </row>
    <row r="79" ht="12.75" customHeight="1">
      <c r="B79" s="2"/>
      <c r="C79" s="3"/>
      <c r="E79" s="3"/>
      <c r="F79" s="3"/>
      <c r="H79" s="2" t="s">
        <v>7</v>
      </c>
      <c r="I79" s="3">
        <f t="shared" si="4"/>
        <v>155.5735214</v>
      </c>
      <c r="K79" s="3">
        <v>142.553857431584</v>
      </c>
      <c r="L79" s="3">
        <f t="shared" si="5"/>
        <v>22.01808623</v>
      </c>
      <c r="M79" s="7">
        <f t="shared" si="6"/>
        <v>12.71214801</v>
      </c>
    </row>
    <row r="80" ht="12.75" customHeight="1"/>
    <row r="81" ht="12.75" customHeight="1">
      <c r="H81" s="8" t="s">
        <v>25</v>
      </c>
      <c r="I81" s="8" t="s">
        <v>26</v>
      </c>
      <c r="J81" s="8" t="s">
        <v>27</v>
      </c>
      <c r="L81" s="8" t="s">
        <v>28</v>
      </c>
      <c r="M81" s="8" t="s">
        <v>29</v>
      </c>
    </row>
    <row r="82" ht="12.75" customHeight="1">
      <c r="D82" s="7"/>
      <c r="F82" s="7"/>
      <c r="H82" s="8">
        <v>0.0</v>
      </c>
      <c r="I82" s="10">
        <v>0.0</v>
      </c>
      <c r="J82" s="7">
        <f>I82/I103</f>
        <v>0</v>
      </c>
      <c r="L82" s="7">
        <f>SUMPRODUCT(H82:H102, J82:J102) / SUM(J82:J102)</f>
        <v>41.57894737</v>
      </c>
      <c r="M82" s="20">
        <f>SQRT(SUMPRODUCT(I82:I102, (H82:H102 - SUMPRODUCT(I82:I102, H82:H102) / SUM(I82:I102))^2) / (SUM(I82:I102) - 1))
</f>
        <v>33.24977673</v>
      </c>
    </row>
    <row r="83" ht="12.75" customHeight="1">
      <c r="D83" s="7"/>
      <c r="H83" s="8">
        <v>10.0</v>
      </c>
      <c r="I83" s="10">
        <v>1.0</v>
      </c>
      <c r="J83" s="7">
        <f>I83/I103</f>
        <v>0.02631578947</v>
      </c>
    </row>
    <row r="84" ht="12.75" customHeight="1">
      <c r="D84" s="7"/>
      <c r="H84" s="8">
        <v>20.0</v>
      </c>
      <c r="I84" s="10">
        <v>12.0</v>
      </c>
      <c r="J84" s="7">
        <f>I84/I103</f>
        <v>0.3157894737</v>
      </c>
    </row>
    <row r="85" ht="12.75" customHeight="1">
      <c r="D85" s="7"/>
      <c r="H85" s="8">
        <v>30.0</v>
      </c>
      <c r="I85" s="10">
        <v>10.0</v>
      </c>
      <c r="J85" s="7">
        <f>I85/I103</f>
        <v>0.2631578947</v>
      </c>
    </row>
    <row r="86" ht="12.75" customHeight="1">
      <c r="D86" s="7"/>
      <c r="H86" s="8">
        <v>40.0</v>
      </c>
      <c r="I86" s="10">
        <v>6.0</v>
      </c>
      <c r="J86" s="7">
        <f>I86/I103</f>
        <v>0.1578947368</v>
      </c>
    </row>
    <row r="87" ht="12.75" customHeight="1">
      <c r="D87" s="7"/>
      <c r="H87" s="8">
        <v>50.0</v>
      </c>
      <c r="I87" s="10">
        <v>2.0</v>
      </c>
      <c r="J87" s="7">
        <f>I87/I103</f>
        <v>0.05263157895</v>
      </c>
    </row>
    <row r="88" ht="12.75" customHeight="1">
      <c r="D88" s="7"/>
      <c r="H88" s="8">
        <v>60.0</v>
      </c>
      <c r="I88" s="10">
        <v>2.0</v>
      </c>
      <c r="J88" s="7">
        <f>I88/I103</f>
        <v>0.05263157895</v>
      </c>
    </row>
    <row r="89" ht="12.75" customHeight="1">
      <c r="D89" s="7"/>
      <c r="H89" s="8">
        <v>70.0</v>
      </c>
      <c r="I89" s="10">
        <v>1.0</v>
      </c>
      <c r="J89" s="7">
        <f>I89/I103</f>
        <v>0.02631578947</v>
      </c>
    </row>
    <row r="90" ht="12.75" customHeight="1">
      <c r="D90" s="7"/>
      <c r="H90" s="8">
        <v>80.0</v>
      </c>
      <c r="I90" s="10">
        <v>1.0</v>
      </c>
      <c r="J90" s="7">
        <f>I90/I103</f>
        <v>0.02631578947</v>
      </c>
    </row>
    <row r="91" ht="12.75" customHeight="1">
      <c r="D91" s="7"/>
      <c r="H91" s="8">
        <v>90.0</v>
      </c>
      <c r="I91" s="10">
        <v>0.0</v>
      </c>
      <c r="J91" s="7">
        <f>I91/I103</f>
        <v>0</v>
      </c>
    </row>
    <row r="92" ht="12.75" customHeight="1">
      <c r="D92" s="7"/>
      <c r="H92" s="8">
        <v>100.0</v>
      </c>
      <c r="I92" s="10">
        <v>0.0</v>
      </c>
      <c r="J92" s="7">
        <f>I92/I103</f>
        <v>0</v>
      </c>
    </row>
    <row r="93" ht="12.75" customHeight="1">
      <c r="D93" s="7"/>
      <c r="H93" s="8">
        <v>110.0</v>
      </c>
      <c r="I93" s="10">
        <v>0.0</v>
      </c>
      <c r="J93" s="7">
        <f>I93/I103</f>
        <v>0</v>
      </c>
    </row>
    <row r="94" ht="12.75" customHeight="1">
      <c r="D94" s="7"/>
      <c r="H94" s="8">
        <v>120.0</v>
      </c>
      <c r="I94" s="10">
        <v>1.0</v>
      </c>
      <c r="J94" s="7">
        <f>I94/I103</f>
        <v>0.02631578947</v>
      </c>
    </row>
    <row r="95" ht="12.75" customHeight="1">
      <c r="D95" s="7"/>
      <c r="H95" s="8">
        <v>130.0</v>
      </c>
      <c r="I95" s="10">
        <v>0.0</v>
      </c>
      <c r="J95" s="7">
        <f>I95/I103</f>
        <v>0</v>
      </c>
    </row>
    <row r="96" ht="12.75" customHeight="1">
      <c r="D96" s="7"/>
      <c r="H96" s="8">
        <v>140.0</v>
      </c>
      <c r="I96" s="10">
        <v>1.0</v>
      </c>
      <c r="J96" s="7">
        <f>I96/I103</f>
        <v>0.02631578947</v>
      </c>
    </row>
    <row r="97" ht="12.75" customHeight="1">
      <c r="D97" s="7"/>
      <c r="H97" s="8">
        <v>150.0</v>
      </c>
      <c r="I97" s="10">
        <v>0.0</v>
      </c>
      <c r="J97" s="7">
        <f>I97/I103</f>
        <v>0</v>
      </c>
    </row>
    <row r="98" ht="12.75" customHeight="1">
      <c r="D98" s="7"/>
      <c r="H98" s="8">
        <v>160.0</v>
      </c>
      <c r="I98" s="10">
        <v>1.0</v>
      </c>
      <c r="J98" s="7">
        <f>I98/I103</f>
        <v>0.02631578947</v>
      </c>
    </row>
    <row r="99" ht="12.75" customHeight="1">
      <c r="D99" s="7"/>
      <c r="H99" s="8">
        <v>170.0</v>
      </c>
      <c r="I99" s="10">
        <v>0.0</v>
      </c>
      <c r="J99" s="7">
        <f>I99/I103</f>
        <v>0</v>
      </c>
    </row>
    <row r="100" ht="12.75" customHeight="1">
      <c r="D100" s="7"/>
      <c r="H100" s="8">
        <v>180.0</v>
      </c>
      <c r="I100" s="10">
        <v>0.0</v>
      </c>
      <c r="J100" s="7">
        <f>I100/I103</f>
        <v>0</v>
      </c>
    </row>
    <row r="101" ht="12.75" customHeight="1">
      <c r="D101" s="7"/>
      <c r="H101" s="8">
        <v>190.0</v>
      </c>
      <c r="I101" s="10">
        <v>0.0</v>
      </c>
      <c r="J101" s="7">
        <f>I101/I103</f>
        <v>0</v>
      </c>
    </row>
    <row r="102" ht="12.75" customHeight="1">
      <c r="D102" s="7"/>
      <c r="H102" s="8">
        <v>200.0</v>
      </c>
      <c r="I102" s="10">
        <v>0.0</v>
      </c>
      <c r="J102" s="7">
        <f>I102/I103</f>
        <v>0</v>
      </c>
    </row>
    <row r="103" ht="12.75" customHeight="1">
      <c r="I103" s="8">
        <f t="shared" ref="I103:J103" si="9">SUM(I82:I102)</f>
        <v>38</v>
      </c>
      <c r="J103" s="9">
        <f t="shared" si="9"/>
        <v>1</v>
      </c>
    </row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Q125" s="1"/>
      <c r="R125" s="1"/>
    </row>
    <row r="126" ht="12.75" customHeight="1">
      <c r="A126" s="2"/>
      <c r="B126" s="2"/>
      <c r="C126" s="2"/>
      <c r="D126" s="7"/>
      <c r="F126" s="2"/>
      <c r="G126" s="2"/>
      <c r="H126" s="2"/>
      <c r="I126" s="3"/>
      <c r="J126" s="2"/>
      <c r="K126" s="2"/>
      <c r="L126" s="2"/>
      <c r="M126" s="2"/>
      <c r="N126" s="3"/>
      <c r="O126" s="1"/>
      <c r="P126" s="1"/>
      <c r="Q126" s="1"/>
      <c r="R126" s="1"/>
    </row>
    <row r="127" ht="12.75" customHeight="1">
      <c r="A127" s="2"/>
      <c r="B127" s="2"/>
      <c r="C127" s="2"/>
      <c r="D127" s="7"/>
      <c r="F127" s="2"/>
      <c r="G127" s="2"/>
      <c r="H127" s="2"/>
      <c r="I127" s="3"/>
      <c r="J127" s="2"/>
      <c r="K127" s="2"/>
      <c r="L127" s="2"/>
      <c r="M127" s="2"/>
      <c r="N127" s="3"/>
      <c r="O127" s="4"/>
      <c r="P127" s="4"/>
    </row>
    <row r="128" ht="12.75" customHeight="1">
      <c r="A128" s="2"/>
      <c r="B128" s="2"/>
      <c r="C128" s="2"/>
      <c r="D128" s="7"/>
      <c r="F128" s="2"/>
      <c r="G128" s="2"/>
      <c r="H128" s="2"/>
      <c r="I128" s="3"/>
      <c r="J128" s="2"/>
      <c r="K128" s="2"/>
      <c r="L128" s="2"/>
      <c r="M128" s="2"/>
      <c r="N128" s="3"/>
      <c r="O128" s="4"/>
      <c r="P128" s="4"/>
    </row>
    <row r="129" ht="12.75" customHeight="1">
      <c r="A129" s="2"/>
      <c r="B129" s="2"/>
      <c r="C129" s="2"/>
      <c r="D129" s="7"/>
      <c r="F129" s="2"/>
      <c r="G129" s="2"/>
      <c r="H129" s="2"/>
      <c r="I129" s="3"/>
      <c r="J129" s="2"/>
      <c r="K129" s="2"/>
      <c r="L129" s="2"/>
      <c r="M129" s="2"/>
      <c r="N129" s="3"/>
      <c r="O129" s="4"/>
      <c r="P129" s="4"/>
    </row>
    <row r="130" ht="12.75" customHeight="1">
      <c r="A130" s="2"/>
      <c r="B130" s="2"/>
      <c r="C130" s="2"/>
      <c r="D130" s="7"/>
      <c r="F130" s="2"/>
      <c r="G130" s="2"/>
      <c r="H130" s="2"/>
      <c r="I130" s="3"/>
      <c r="J130" s="2"/>
      <c r="K130" s="2"/>
      <c r="L130" s="2"/>
      <c r="M130" s="2"/>
      <c r="N130" s="3"/>
      <c r="O130" s="4"/>
      <c r="P130" s="4"/>
    </row>
    <row r="131" ht="12.75" customHeight="1">
      <c r="A131" s="2"/>
      <c r="B131" s="2"/>
      <c r="C131" s="2"/>
      <c r="D131" s="7"/>
      <c r="F131" s="2"/>
      <c r="G131" s="2"/>
      <c r="H131" s="2"/>
      <c r="I131" s="3"/>
      <c r="J131" s="2"/>
      <c r="K131" s="2"/>
      <c r="L131" s="2"/>
      <c r="M131" s="2"/>
      <c r="N131" s="3"/>
      <c r="O131" s="4"/>
      <c r="P131" s="4"/>
    </row>
    <row r="132" ht="12.75" customHeight="1">
      <c r="A132" s="2"/>
      <c r="B132" s="2"/>
      <c r="C132" s="2"/>
      <c r="D132" s="7"/>
      <c r="F132" s="2"/>
      <c r="G132" s="2"/>
      <c r="H132" s="2"/>
      <c r="I132" s="3"/>
      <c r="J132" s="2"/>
      <c r="K132" s="2"/>
      <c r="L132" s="2"/>
      <c r="M132" s="2"/>
      <c r="N132" s="3"/>
      <c r="O132" s="4"/>
      <c r="P132" s="4"/>
    </row>
    <row r="133" ht="12.75" customHeight="1">
      <c r="A133" s="2"/>
      <c r="B133" s="2"/>
      <c r="C133" s="2"/>
      <c r="D133" s="7"/>
      <c r="F133" s="2"/>
      <c r="G133" s="2"/>
      <c r="H133" s="2"/>
      <c r="I133" s="3"/>
      <c r="J133" s="2"/>
      <c r="K133" s="2"/>
      <c r="L133" s="2"/>
      <c r="M133" s="2"/>
      <c r="N133" s="3"/>
      <c r="O133" s="4"/>
      <c r="P133" s="4"/>
    </row>
    <row r="134" ht="12.75" customHeight="1">
      <c r="A134" s="2"/>
      <c r="B134" s="2"/>
      <c r="C134" s="5"/>
      <c r="D134" s="7"/>
      <c r="F134" s="2"/>
      <c r="G134" s="2"/>
      <c r="H134" s="2"/>
      <c r="I134" s="3"/>
      <c r="J134" s="2"/>
      <c r="K134" s="2"/>
      <c r="L134" s="2"/>
      <c r="M134" s="2"/>
      <c r="N134" s="3"/>
      <c r="O134" s="4"/>
      <c r="P134" s="4"/>
    </row>
    <row r="135" ht="12.75" customHeight="1">
      <c r="A135" s="2"/>
      <c r="B135" s="2"/>
      <c r="C135" s="2"/>
      <c r="D135" s="7"/>
      <c r="F135" s="2"/>
      <c r="G135" s="2"/>
      <c r="H135" s="2"/>
      <c r="I135" s="3"/>
      <c r="J135" s="2"/>
      <c r="K135" s="2"/>
      <c r="L135" s="2"/>
      <c r="M135" s="2"/>
      <c r="N135" s="3"/>
      <c r="O135" s="4"/>
      <c r="P135" s="4"/>
    </row>
    <row r="136" ht="12.75" customHeight="1">
      <c r="A136" s="2"/>
      <c r="B136" s="2"/>
      <c r="C136" s="2"/>
      <c r="D136" s="7"/>
      <c r="F136" s="2"/>
      <c r="G136" s="2"/>
      <c r="H136" s="2"/>
      <c r="I136" s="3"/>
      <c r="J136" s="2"/>
      <c r="K136" s="2"/>
      <c r="L136" s="2"/>
      <c r="M136" s="2"/>
      <c r="N136" s="3"/>
      <c r="O136" s="4"/>
      <c r="P136" s="4"/>
    </row>
    <row r="137" ht="12.75" customHeight="1">
      <c r="A137" s="2"/>
      <c r="B137" s="2"/>
      <c r="C137" s="2"/>
      <c r="D137" s="7"/>
      <c r="F137" s="2"/>
      <c r="G137" s="2"/>
      <c r="H137" s="2"/>
      <c r="I137" s="3"/>
      <c r="J137" s="2"/>
      <c r="K137" s="2"/>
      <c r="L137" s="2"/>
      <c r="M137" s="2"/>
      <c r="N137" s="3"/>
      <c r="O137" s="4"/>
      <c r="P137" s="4"/>
    </row>
    <row r="138" ht="12.75" customHeight="1">
      <c r="A138" s="2"/>
      <c r="B138" s="2"/>
      <c r="C138" s="2"/>
      <c r="D138" s="7"/>
      <c r="F138" s="2"/>
      <c r="G138" s="2"/>
      <c r="H138" s="2"/>
      <c r="I138" s="3"/>
      <c r="J138" s="2"/>
      <c r="K138" s="2"/>
      <c r="L138" s="2"/>
      <c r="M138" s="2"/>
      <c r="N138" s="3"/>
      <c r="O138" s="4"/>
      <c r="P138" s="4"/>
    </row>
    <row r="139" ht="12.75" customHeight="1">
      <c r="A139" s="2"/>
      <c r="B139" s="2"/>
      <c r="C139" s="5"/>
      <c r="D139" s="7"/>
      <c r="F139" s="2"/>
      <c r="G139" s="2"/>
      <c r="H139" s="2"/>
      <c r="I139" s="3"/>
      <c r="J139" s="2"/>
      <c r="K139" s="2"/>
      <c r="L139" s="2"/>
      <c r="M139" s="2"/>
      <c r="N139" s="3"/>
      <c r="O139" s="4"/>
      <c r="P139" s="4"/>
    </row>
    <row r="140" ht="12.75" customHeight="1">
      <c r="A140" s="2"/>
      <c r="B140" s="2"/>
      <c r="C140" s="2"/>
      <c r="D140" s="7"/>
      <c r="F140" s="2"/>
      <c r="G140" s="2"/>
      <c r="H140" s="2"/>
      <c r="I140" s="3"/>
      <c r="J140" s="2"/>
      <c r="K140" s="2"/>
      <c r="L140" s="2"/>
      <c r="M140" s="2"/>
      <c r="N140" s="3"/>
      <c r="O140" s="4"/>
      <c r="P140" s="4"/>
    </row>
    <row r="141" ht="12.75" customHeight="1">
      <c r="A141" s="2"/>
      <c r="B141" s="2"/>
      <c r="C141" s="2"/>
      <c r="D141" s="7"/>
      <c r="F141" s="2"/>
      <c r="G141" s="2"/>
      <c r="H141" s="2"/>
      <c r="I141" s="3"/>
      <c r="J141" s="2"/>
      <c r="K141" s="2"/>
      <c r="L141" s="2"/>
      <c r="M141" s="2"/>
      <c r="N141" s="3"/>
      <c r="O141" s="4"/>
      <c r="P141" s="4"/>
    </row>
    <row r="142" ht="12.75" customHeight="1">
      <c r="A142" s="2"/>
      <c r="B142" s="2"/>
      <c r="C142" s="2"/>
      <c r="D142" s="7"/>
      <c r="F142" s="2"/>
      <c r="G142" s="2"/>
      <c r="H142" s="2"/>
      <c r="I142" s="3"/>
      <c r="J142" s="2"/>
      <c r="K142" s="2"/>
      <c r="L142" s="2"/>
      <c r="M142" s="2"/>
      <c r="N142" s="3"/>
      <c r="O142" s="4"/>
      <c r="P142" s="4"/>
    </row>
    <row r="143" ht="12.75" customHeight="1">
      <c r="A143" s="2"/>
      <c r="B143" s="2"/>
      <c r="C143" s="2"/>
      <c r="D143" s="7"/>
      <c r="F143" s="2"/>
      <c r="G143" s="2"/>
      <c r="H143" s="2"/>
      <c r="I143" s="3"/>
      <c r="J143" s="2"/>
      <c r="K143" s="2"/>
      <c r="L143" s="2"/>
      <c r="M143" s="2"/>
      <c r="N143" s="3"/>
      <c r="O143" s="4"/>
      <c r="P143" s="4"/>
    </row>
    <row r="144" ht="12.75" customHeight="1">
      <c r="A144" s="2"/>
      <c r="B144" s="2"/>
      <c r="C144" s="2"/>
      <c r="D144" s="7"/>
      <c r="F144" s="2"/>
      <c r="G144" s="2"/>
      <c r="H144" s="2"/>
      <c r="I144" s="3"/>
      <c r="J144" s="2"/>
      <c r="K144" s="2"/>
      <c r="L144" s="2"/>
      <c r="M144" s="2"/>
      <c r="N144" s="3"/>
      <c r="O144" s="4"/>
      <c r="P144" s="4"/>
    </row>
    <row r="145" ht="12.75" customHeight="1">
      <c r="A145" s="2"/>
      <c r="B145" s="2"/>
      <c r="C145" s="2"/>
      <c r="D145" s="7"/>
      <c r="F145" s="2"/>
      <c r="G145" s="2"/>
      <c r="H145" s="2"/>
      <c r="I145" s="3"/>
      <c r="J145" s="2"/>
      <c r="K145" s="2"/>
      <c r="L145" s="2"/>
      <c r="M145" s="2"/>
      <c r="N145" s="3"/>
      <c r="O145" s="4"/>
      <c r="P145" s="4"/>
    </row>
    <row r="146" ht="12.75" customHeight="1">
      <c r="A146" s="2"/>
      <c r="B146" s="2"/>
      <c r="C146" s="2"/>
      <c r="D146" s="7"/>
      <c r="F146" s="2"/>
      <c r="G146" s="2"/>
      <c r="H146" s="2"/>
      <c r="I146" s="3"/>
      <c r="J146" s="2"/>
      <c r="K146" s="2"/>
      <c r="L146" s="2"/>
      <c r="M146" s="2"/>
      <c r="N146" s="3"/>
      <c r="O146" s="4"/>
      <c r="P146" s="4"/>
    </row>
    <row r="147" ht="12.75" customHeight="1">
      <c r="A147" s="2"/>
      <c r="B147" s="2"/>
      <c r="C147" s="2"/>
      <c r="D147" s="7"/>
      <c r="F147" s="2"/>
      <c r="G147" s="2"/>
      <c r="H147" s="2"/>
      <c r="I147" s="3"/>
      <c r="J147" s="2"/>
      <c r="K147" s="2"/>
      <c r="L147" s="2"/>
      <c r="M147" s="2"/>
      <c r="N147" s="3"/>
      <c r="O147" s="4"/>
      <c r="P147" s="4"/>
    </row>
    <row r="148" ht="12.75" customHeight="1">
      <c r="A148" s="2"/>
      <c r="B148" s="2"/>
      <c r="C148" s="2"/>
      <c r="D148" s="7"/>
      <c r="F148" s="2"/>
      <c r="G148" s="2"/>
      <c r="H148" s="2"/>
      <c r="I148" s="3"/>
      <c r="J148" s="2"/>
      <c r="K148" s="2"/>
      <c r="L148" s="2"/>
      <c r="M148" s="2"/>
      <c r="N148" s="3"/>
      <c r="O148" s="4"/>
      <c r="P148" s="4"/>
    </row>
    <row r="149" ht="12.75" customHeight="1">
      <c r="A149" s="2"/>
      <c r="B149" s="2"/>
      <c r="C149" s="2"/>
      <c r="D149" s="7"/>
      <c r="F149" s="2"/>
      <c r="G149" s="2"/>
      <c r="H149" s="2"/>
      <c r="I149" s="3"/>
      <c r="J149" s="2"/>
      <c r="K149" s="2"/>
      <c r="L149" s="2"/>
      <c r="M149" s="2"/>
      <c r="N149" s="3"/>
      <c r="O149" s="4"/>
      <c r="P149" s="4"/>
    </row>
    <row r="150" ht="12.75" customHeight="1">
      <c r="A150" s="2"/>
      <c r="B150" s="2"/>
      <c r="C150" s="2"/>
      <c r="D150" s="7"/>
      <c r="F150" s="2"/>
      <c r="G150" s="2"/>
      <c r="H150" s="2"/>
      <c r="I150" s="3"/>
      <c r="J150" s="2"/>
      <c r="K150" s="2"/>
      <c r="L150" s="2"/>
      <c r="M150" s="2"/>
      <c r="N150" s="3"/>
      <c r="O150" s="4"/>
      <c r="P150" s="4"/>
    </row>
    <row r="151" ht="12.75" customHeight="1">
      <c r="A151" s="2"/>
      <c r="B151" s="2"/>
      <c r="C151" s="2"/>
      <c r="D151" s="7"/>
      <c r="F151" s="2"/>
      <c r="G151" s="2"/>
      <c r="H151" s="2"/>
      <c r="I151" s="3"/>
      <c r="J151" s="2"/>
      <c r="K151" s="2"/>
      <c r="L151" s="2"/>
      <c r="M151" s="2"/>
      <c r="N151" s="3"/>
      <c r="O151" s="4"/>
      <c r="P151" s="4"/>
    </row>
    <row r="152" ht="12.75" customHeight="1">
      <c r="A152" s="2"/>
      <c r="B152" s="2"/>
      <c r="C152" s="2"/>
      <c r="D152" s="7"/>
      <c r="F152" s="2"/>
      <c r="G152" s="2"/>
      <c r="H152" s="2"/>
      <c r="I152" s="3"/>
      <c r="J152" s="2"/>
      <c r="K152" s="2"/>
      <c r="L152" s="2"/>
      <c r="M152" s="2"/>
      <c r="N152" s="3"/>
      <c r="O152" s="4"/>
      <c r="P152" s="4"/>
    </row>
    <row r="153" ht="12.75" customHeight="1">
      <c r="A153" s="2"/>
      <c r="B153" s="2"/>
      <c r="C153" s="2"/>
      <c r="D153" s="7"/>
      <c r="F153" s="2"/>
      <c r="G153" s="2"/>
      <c r="H153" s="2"/>
      <c r="I153" s="3"/>
      <c r="J153" s="2"/>
      <c r="K153" s="2"/>
      <c r="L153" s="2"/>
      <c r="M153" s="2"/>
      <c r="N153" s="3"/>
      <c r="O153" s="4"/>
      <c r="P153" s="4"/>
    </row>
    <row r="154" ht="12.75" customHeight="1">
      <c r="A154" s="2"/>
      <c r="B154" s="2"/>
      <c r="C154" s="2"/>
      <c r="D154" s="7"/>
      <c r="F154" s="2"/>
      <c r="G154" s="2"/>
      <c r="H154" s="2"/>
      <c r="I154" s="3"/>
      <c r="J154" s="2"/>
      <c r="K154" s="2"/>
      <c r="L154" s="2"/>
      <c r="M154" s="2"/>
      <c r="N154" s="3"/>
      <c r="O154" s="4"/>
      <c r="P154" s="4"/>
    </row>
    <row r="155" ht="12.75" customHeight="1">
      <c r="A155" s="2"/>
      <c r="B155" s="2"/>
      <c r="C155" s="2"/>
      <c r="D155" s="7"/>
      <c r="F155" s="2"/>
      <c r="G155" s="2"/>
      <c r="H155" s="2"/>
      <c r="I155" s="3"/>
      <c r="J155" s="2"/>
      <c r="K155" s="2"/>
      <c r="L155" s="2"/>
      <c r="M155" s="2"/>
      <c r="N155" s="3"/>
      <c r="O155" s="4"/>
      <c r="P155" s="4"/>
    </row>
    <row r="156" ht="12.75" customHeight="1">
      <c r="A156" s="2"/>
      <c r="B156" s="2"/>
      <c r="C156" s="2"/>
      <c r="D156" s="7"/>
      <c r="F156" s="2"/>
      <c r="G156" s="2"/>
      <c r="H156" s="2"/>
      <c r="I156" s="3"/>
      <c r="J156" s="2"/>
      <c r="K156" s="2"/>
      <c r="L156" s="2"/>
      <c r="M156" s="2"/>
      <c r="N156" s="3"/>
      <c r="O156" s="4"/>
      <c r="P156" s="4"/>
    </row>
    <row r="157" ht="12.75" customHeight="1">
      <c r="A157" s="2"/>
      <c r="B157" s="2"/>
      <c r="C157" s="5"/>
      <c r="D157" s="7"/>
      <c r="F157" s="2"/>
      <c r="G157" s="2"/>
      <c r="H157" s="2"/>
      <c r="I157" s="3"/>
      <c r="J157" s="2"/>
      <c r="K157" s="2"/>
      <c r="L157" s="2"/>
      <c r="M157" s="2"/>
      <c r="N157" s="3"/>
      <c r="O157" s="4"/>
      <c r="P157" s="4"/>
    </row>
    <row r="158" ht="12.75" customHeight="1">
      <c r="A158" s="2"/>
      <c r="B158" s="2"/>
      <c r="C158" s="2"/>
      <c r="D158" s="7"/>
      <c r="F158" s="2"/>
      <c r="G158" s="2"/>
      <c r="H158" s="2"/>
      <c r="I158" s="3"/>
      <c r="J158" s="2"/>
      <c r="K158" s="2"/>
      <c r="L158" s="2"/>
      <c r="M158" s="2"/>
      <c r="N158" s="3"/>
      <c r="O158" s="4"/>
      <c r="P158" s="4"/>
    </row>
    <row r="159" ht="12.75" customHeight="1">
      <c r="A159" s="2"/>
      <c r="B159" s="2"/>
      <c r="C159" s="2"/>
      <c r="D159" s="7"/>
      <c r="F159" s="2"/>
      <c r="G159" s="2"/>
      <c r="H159" s="2"/>
      <c r="I159" s="3"/>
      <c r="J159" s="2"/>
      <c r="K159" s="2"/>
      <c r="L159" s="2"/>
      <c r="M159" s="2"/>
      <c r="N159" s="3"/>
      <c r="O159" s="4"/>
      <c r="P159" s="4"/>
    </row>
    <row r="160" ht="12.75" customHeight="1">
      <c r="A160" s="2"/>
      <c r="B160" s="2"/>
      <c r="C160" s="2"/>
      <c r="D160" s="7"/>
      <c r="F160" s="2"/>
      <c r="G160" s="2"/>
      <c r="H160" s="2"/>
      <c r="I160" s="3"/>
      <c r="J160" s="2"/>
      <c r="K160" s="2"/>
      <c r="L160" s="2"/>
      <c r="M160" s="2"/>
      <c r="N160" s="3"/>
      <c r="O160" s="4"/>
      <c r="P160" s="4"/>
    </row>
    <row r="161" ht="12.75" customHeight="1">
      <c r="A161" s="2"/>
      <c r="B161" s="2"/>
      <c r="C161" s="2"/>
      <c r="D161" s="7"/>
      <c r="F161" s="2"/>
      <c r="G161" s="2"/>
      <c r="H161" s="2"/>
      <c r="I161" s="3"/>
      <c r="J161" s="2"/>
      <c r="K161" s="2"/>
      <c r="L161" s="2"/>
      <c r="M161" s="2"/>
      <c r="N161" s="3"/>
      <c r="O161" s="4"/>
      <c r="P161" s="4"/>
    </row>
    <row r="162" ht="12.75" customHeight="1">
      <c r="A162" s="2"/>
      <c r="B162" s="2"/>
      <c r="C162" s="2"/>
      <c r="D162" s="7"/>
      <c r="F162" s="2"/>
      <c r="G162" s="2"/>
      <c r="H162" s="2"/>
      <c r="I162" s="3"/>
      <c r="J162" s="2"/>
      <c r="K162" s="2"/>
      <c r="L162" s="2"/>
      <c r="M162" s="2"/>
      <c r="N162" s="3"/>
      <c r="O162" s="4"/>
      <c r="P162" s="4"/>
    </row>
    <row r="163" ht="12.75" customHeight="1">
      <c r="A163" s="2"/>
      <c r="B163" s="2"/>
      <c r="C163" s="2"/>
      <c r="D163" s="7"/>
      <c r="F163" s="2"/>
      <c r="G163" s="2"/>
      <c r="H163" s="2"/>
      <c r="I163" s="3"/>
      <c r="J163" s="2"/>
      <c r="K163" s="2"/>
      <c r="L163" s="2"/>
      <c r="M163" s="2"/>
      <c r="N163" s="3"/>
      <c r="O163" s="4"/>
      <c r="P163" s="4"/>
    </row>
    <row r="164" ht="12.75" customHeight="1">
      <c r="O164" s="4"/>
      <c r="P164" s="4"/>
    </row>
    <row r="165" ht="12.75" customHeight="1">
      <c r="B165" s="1"/>
    </row>
    <row r="166" ht="12.75" customHeight="1">
      <c r="B166" s="2"/>
      <c r="C166" s="3"/>
      <c r="E166" s="3"/>
      <c r="F166" s="3"/>
      <c r="G166" s="7"/>
    </row>
    <row r="167" ht="12.75" customHeight="1">
      <c r="B167" s="2"/>
      <c r="C167" s="3"/>
      <c r="E167" s="3"/>
      <c r="F167" s="3"/>
      <c r="G167" s="7"/>
    </row>
    <row r="168" ht="12.75" customHeight="1">
      <c r="B168" s="2"/>
      <c r="C168" s="3"/>
      <c r="E168" s="3"/>
      <c r="F168" s="3"/>
      <c r="G168" s="7"/>
    </row>
    <row r="169" ht="12.75" customHeight="1">
      <c r="B169" s="2"/>
      <c r="C169" s="3"/>
      <c r="E169" s="3"/>
      <c r="F169" s="3"/>
      <c r="G169" s="7"/>
    </row>
    <row r="170" ht="12.75" customHeight="1">
      <c r="B170" s="2"/>
      <c r="C170" s="3"/>
      <c r="E170" s="3"/>
      <c r="F170" s="3"/>
      <c r="G170" s="7"/>
    </row>
    <row r="171" ht="12.75" customHeight="1">
      <c r="B171" s="2"/>
      <c r="C171" s="3"/>
      <c r="E171" s="3"/>
      <c r="F171" s="3"/>
      <c r="G171" s="7"/>
    </row>
    <row r="172" ht="12.75" customHeight="1">
      <c r="B172" s="2"/>
      <c r="C172" s="3"/>
      <c r="E172" s="3"/>
      <c r="F172" s="3"/>
      <c r="G172" s="7"/>
    </row>
    <row r="173" ht="12.75" customHeight="1">
      <c r="B173" s="2"/>
      <c r="C173" s="3"/>
      <c r="E173" s="3"/>
      <c r="F173" s="3"/>
      <c r="G173" s="7"/>
    </row>
    <row r="174" ht="12.75" customHeight="1">
      <c r="B174" s="2"/>
      <c r="C174" s="3"/>
      <c r="E174" s="3"/>
      <c r="F174" s="3"/>
      <c r="G174" s="7"/>
    </row>
    <row r="175" ht="12.75" customHeight="1">
      <c r="B175" s="2"/>
      <c r="C175" s="3"/>
      <c r="E175" s="3"/>
      <c r="F175" s="3"/>
      <c r="G175" s="7"/>
    </row>
    <row r="176" ht="12.75" customHeight="1">
      <c r="B176" s="2"/>
      <c r="C176" s="3"/>
      <c r="E176" s="3"/>
      <c r="F176" s="3"/>
      <c r="G176" s="7"/>
    </row>
    <row r="177" ht="12.75" customHeight="1">
      <c r="B177" s="2"/>
      <c r="C177" s="3"/>
      <c r="E177" s="3"/>
      <c r="F177" s="3"/>
      <c r="G177" s="7"/>
    </row>
    <row r="178" ht="12.75" customHeight="1">
      <c r="B178" s="2"/>
      <c r="C178" s="3"/>
      <c r="E178" s="3"/>
      <c r="F178" s="3"/>
      <c r="G178" s="7"/>
    </row>
    <row r="179" ht="12.75" customHeight="1">
      <c r="B179" s="2"/>
      <c r="C179" s="3"/>
      <c r="E179" s="3"/>
      <c r="F179" s="3"/>
      <c r="G179" s="7"/>
    </row>
    <row r="180" ht="12.75" customHeight="1">
      <c r="B180" s="2"/>
      <c r="C180" s="3"/>
      <c r="E180" s="3"/>
      <c r="F180" s="3"/>
      <c r="G180" s="7"/>
    </row>
    <row r="181" ht="12.75" customHeight="1">
      <c r="B181" s="2"/>
      <c r="C181" s="3"/>
      <c r="E181" s="3"/>
      <c r="F181" s="3"/>
      <c r="G181" s="7"/>
    </row>
    <row r="182" ht="12.75" customHeight="1">
      <c r="B182" s="2"/>
      <c r="C182" s="3"/>
      <c r="E182" s="3"/>
      <c r="F182" s="3"/>
      <c r="G182" s="7"/>
    </row>
    <row r="183" ht="12.75" customHeight="1">
      <c r="B183" s="2"/>
      <c r="C183" s="3"/>
      <c r="E183" s="3"/>
      <c r="F183" s="3"/>
      <c r="G183" s="7"/>
    </row>
    <row r="184" ht="12.75" customHeight="1">
      <c r="B184" s="2"/>
      <c r="C184" s="3"/>
      <c r="E184" s="3"/>
      <c r="F184" s="3"/>
      <c r="G184" s="7"/>
    </row>
    <row r="185" ht="12.75" customHeight="1">
      <c r="B185" s="2"/>
      <c r="C185" s="3"/>
      <c r="E185" s="3"/>
      <c r="F185" s="3"/>
      <c r="G185" s="7"/>
    </row>
    <row r="186" ht="12.75" customHeight="1">
      <c r="B186" s="2"/>
      <c r="C186" s="3"/>
      <c r="E186" s="3"/>
      <c r="F186" s="3"/>
      <c r="G186" s="7"/>
    </row>
    <row r="187" ht="12.75" customHeight="1">
      <c r="B187" s="2"/>
      <c r="C187" s="3"/>
      <c r="E187" s="3"/>
      <c r="F187" s="3"/>
      <c r="G187" s="7"/>
    </row>
    <row r="188" ht="12.75" customHeight="1">
      <c r="B188" s="2"/>
      <c r="C188" s="3"/>
      <c r="E188" s="3"/>
      <c r="F188" s="3"/>
      <c r="G188" s="7"/>
    </row>
    <row r="189" ht="12.75" customHeight="1">
      <c r="B189" s="2"/>
      <c r="C189" s="3"/>
      <c r="E189" s="3"/>
      <c r="F189" s="3"/>
      <c r="G189" s="7"/>
    </row>
    <row r="190" ht="12.75" customHeight="1">
      <c r="B190" s="2"/>
      <c r="C190" s="3"/>
      <c r="E190" s="3"/>
      <c r="F190" s="3"/>
      <c r="G190" s="7"/>
    </row>
    <row r="191" ht="12.75" customHeight="1">
      <c r="B191" s="2"/>
      <c r="C191" s="3"/>
      <c r="E191" s="3"/>
      <c r="F191" s="3"/>
      <c r="G191" s="7"/>
    </row>
    <row r="192" ht="12.75" customHeight="1">
      <c r="B192" s="2"/>
      <c r="C192" s="3"/>
      <c r="E192" s="3"/>
      <c r="F192" s="3"/>
      <c r="G192" s="7"/>
    </row>
    <row r="193" ht="12.75" customHeight="1">
      <c r="B193" s="2"/>
      <c r="C193" s="3"/>
      <c r="E193" s="3"/>
      <c r="F193" s="3"/>
      <c r="G193" s="7"/>
    </row>
    <row r="194" ht="12.75" customHeight="1">
      <c r="B194" s="2"/>
      <c r="C194" s="3"/>
      <c r="E194" s="3"/>
      <c r="F194" s="3"/>
      <c r="G194" s="7"/>
    </row>
    <row r="195" ht="12.75" customHeight="1">
      <c r="B195" s="2"/>
      <c r="C195" s="3"/>
      <c r="E195" s="3"/>
      <c r="F195" s="3"/>
      <c r="G195" s="7"/>
    </row>
    <row r="196" ht="12.75" customHeight="1">
      <c r="B196" s="2"/>
      <c r="C196" s="3"/>
      <c r="E196" s="3"/>
      <c r="F196" s="3"/>
      <c r="G196" s="7"/>
    </row>
    <row r="197" ht="12.75" customHeight="1">
      <c r="B197" s="2"/>
      <c r="C197" s="3"/>
      <c r="E197" s="3"/>
      <c r="F197" s="3"/>
      <c r="G197" s="7"/>
    </row>
    <row r="198" ht="12.75" customHeight="1">
      <c r="B198" s="2"/>
      <c r="C198" s="3"/>
      <c r="E198" s="3"/>
      <c r="F198" s="3"/>
      <c r="G198" s="7"/>
    </row>
    <row r="199" ht="12.75" customHeight="1">
      <c r="B199" s="2"/>
      <c r="C199" s="3"/>
      <c r="E199" s="3"/>
      <c r="F199" s="3"/>
      <c r="G199" s="7"/>
    </row>
    <row r="200" ht="12.75" customHeight="1">
      <c r="B200" s="2"/>
      <c r="C200" s="3"/>
      <c r="E200" s="3"/>
      <c r="F200" s="3"/>
      <c r="G200" s="7"/>
    </row>
    <row r="201" ht="12.75" customHeight="1">
      <c r="B201" s="2"/>
      <c r="C201" s="3"/>
      <c r="E201" s="3"/>
      <c r="F201" s="3"/>
      <c r="G201" s="7"/>
    </row>
    <row r="202" ht="12.75" customHeight="1">
      <c r="B202" s="2"/>
      <c r="C202" s="3"/>
      <c r="E202" s="3"/>
      <c r="F202" s="3"/>
      <c r="G202" s="7"/>
    </row>
    <row r="203" ht="12.75" customHeight="1">
      <c r="B203" s="2"/>
      <c r="C203" s="3"/>
      <c r="E203" s="3"/>
      <c r="F203" s="3"/>
      <c r="G203" s="7"/>
    </row>
    <row r="204" ht="12.75" customHeight="1"/>
    <row r="205" ht="12.75" customHeight="1"/>
    <row r="206" ht="12.75" customHeight="1">
      <c r="D206" s="7"/>
      <c r="F206" s="7"/>
      <c r="G206" s="7"/>
    </row>
    <row r="207" ht="12.75" customHeight="1">
      <c r="D207" s="7"/>
    </row>
    <row r="208" ht="12.75" customHeight="1">
      <c r="D208" s="7"/>
    </row>
    <row r="209" ht="12.75" customHeight="1">
      <c r="D209" s="7"/>
    </row>
    <row r="210" ht="12.75" customHeight="1">
      <c r="D210" s="7"/>
    </row>
    <row r="211" ht="12.75" customHeight="1">
      <c r="D211" s="7"/>
    </row>
    <row r="212" ht="12.75" customHeight="1">
      <c r="D212" s="7"/>
    </row>
    <row r="213" ht="12.75" customHeight="1">
      <c r="D213" s="7"/>
    </row>
    <row r="214" ht="12.75" customHeight="1">
      <c r="D214" s="7"/>
    </row>
    <row r="215" ht="12.75" customHeight="1">
      <c r="D215" s="7"/>
    </row>
    <row r="216" ht="12.75" customHeight="1">
      <c r="D216" s="7"/>
    </row>
    <row r="217" ht="12.75" customHeight="1">
      <c r="D217" s="7"/>
    </row>
    <row r="218" ht="12.75" customHeight="1">
      <c r="D218" s="7"/>
    </row>
    <row r="219" ht="12.75" customHeight="1">
      <c r="D219" s="7"/>
    </row>
    <row r="220" ht="12.75" customHeight="1">
      <c r="D220" s="7"/>
    </row>
    <row r="221" ht="12.75" customHeight="1">
      <c r="D221" s="7"/>
    </row>
    <row r="222" ht="12.75" customHeight="1">
      <c r="D222" s="7"/>
    </row>
    <row r="223" ht="12.75" customHeight="1">
      <c r="D223" s="7"/>
    </row>
    <row r="224" ht="12.75" customHeight="1">
      <c r="D224" s="7"/>
    </row>
    <row r="225" ht="12.75" customHeight="1">
      <c r="D225" s="7"/>
    </row>
    <row r="226" ht="12.75" customHeight="1">
      <c r="D226" s="7"/>
    </row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Q249" s="1"/>
      <c r="R249" s="1"/>
    </row>
    <row r="250" ht="12.75" customHeight="1">
      <c r="A250" s="2"/>
      <c r="B250" s="2"/>
      <c r="C250" s="2"/>
      <c r="D250" s="7"/>
      <c r="F250" s="2"/>
      <c r="G250" s="2"/>
      <c r="H250" s="2"/>
      <c r="I250" s="3"/>
      <c r="K250" s="2"/>
      <c r="L250" s="2"/>
      <c r="M250" s="2"/>
      <c r="N250" s="3"/>
      <c r="O250" s="1"/>
      <c r="P250" s="1"/>
      <c r="Q250" s="1"/>
      <c r="R250" s="1"/>
    </row>
    <row r="251" ht="12.75" customHeight="1">
      <c r="A251" s="2"/>
      <c r="B251" s="2"/>
      <c r="C251" s="2"/>
      <c r="D251" s="7"/>
      <c r="F251" s="2"/>
      <c r="G251" s="2"/>
      <c r="H251" s="2"/>
      <c r="I251" s="3"/>
      <c r="K251" s="2"/>
      <c r="L251" s="2"/>
      <c r="M251" s="2"/>
      <c r="N251" s="3"/>
      <c r="O251" s="4"/>
      <c r="P251" s="4"/>
    </row>
    <row r="252" ht="12.75" customHeight="1">
      <c r="A252" s="2"/>
      <c r="B252" s="2"/>
      <c r="C252" s="2"/>
      <c r="D252" s="7"/>
      <c r="F252" s="2"/>
      <c r="G252" s="2"/>
      <c r="H252" s="2"/>
      <c r="I252" s="3"/>
      <c r="K252" s="2"/>
      <c r="L252" s="2"/>
      <c r="M252" s="2"/>
      <c r="N252" s="3"/>
      <c r="O252" s="4"/>
      <c r="P252" s="4"/>
    </row>
    <row r="253" ht="12.75" customHeight="1">
      <c r="A253" s="2"/>
      <c r="B253" s="2"/>
      <c r="C253" s="2"/>
      <c r="D253" s="7"/>
      <c r="F253" s="2"/>
      <c r="G253" s="2"/>
      <c r="H253" s="2"/>
      <c r="I253" s="3"/>
      <c r="K253" s="2"/>
      <c r="L253" s="2"/>
      <c r="M253" s="2"/>
      <c r="N253" s="3"/>
      <c r="O253" s="4"/>
      <c r="P253" s="4"/>
    </row>
    <row r="254" ht="12.75" customHeight="1">
      <c r="A254" s="2"/>
      <c r="B254" s="2"/>
      <c r="C254" s="2"/>
      <c r="D254" s="7"/>
      <c r="F254" s="2"/>
      <c r="G254" s="2"/>
      <c r="H254" s="2"/>
      <c r="I254" s="3"/>
      <c r="K254" s="2"/>
      <c r="L254" s="2"/>
      <c r="M254" s="2"/>
      <c r="N254" s="3"/>
      <c r="O254" s="4"/>
      <c r="P254" s="4"/>
    </row>
    <row r="255" ht="12.75" customHeight="1">
      <c r="A255" s="2"/>
      <c r="B255" s="2"/>
      <c r="C255" s="2"/>
      <c r="D255" s="7"/>
      <c r="F255" s="2"/>
      <c r="G255" s="2"/>
      <c r="H255" s="2"/>
      <c r="I255" s="3"/>
      <c r="K255" s="2"/>
      <c r="L255" s="2"/>
      <c r="M255" s="2"/>
      <c r="N255" s="3"/>
      <c r="O255" s="4"/>
      <c r="P255" s="4"/>
    </row>
    <row r="256" ht="12.75" customHeight="1">
      <c r="A256" s="2"/>
      <c r="B256" s="2"/>
      <c r="C256" s="2"/>
      <c r="D256" s="7"/>
      <c r="F256" s="2"/>
      <c r="G256" s="2"/>
      <c r="H256" s="2"/>
      <c r="I256" s="3"/>
      <c r="K256" s="2"/>
      <c r="L256" s="2"/>
      <c r="M256" s="2"/>
      <c r="N256" s="3"/>
      <c r="O256" s="4"/>
      <c r="P256" s="4"/>
    </row>
    <row r="257" ht="12.75" customHeight="1">
      <c r="A257" s="2"/>
      <c r="B257" s="2"/>
      <c r="C257" s="2"/>
      <c r="D257" s="7"/>
      <c r="F257" s="2"/>
      <c r="G257" s="2"/>
      <c r="H257" s="2"/>
      <c r="I257" s="3"/>
      <c r="K257" s="2"/>
      <c r="L257" s="2"/>
      <c r="M257" s="2"/>
      <c r="N257" s="3"/>
      <c r="O257" s="4"/>
      <c r="P257" s="4"/>
    </row>
    <row r="258" ht="12.75" customHeight="1">
      <c r="A258" s="2"/>
      <c r="B258" s="2"/>
      <c r="C258" s="5"/>
      <c r="D258" s="7"/>
      <c r="F258" s="2"/>
      <c r="G258" s="2"/>
      <c r="H258" s="2"/>
      <c r="I258" s="3"/>
      <c r="K258" s="2"/>
      <c r="L258" s="2"/>
      <c r="M258" s="2"/>
      <c r="N258" s="3"/>
      <c r="O258" s="4"/>
      <c r="P258" s="4"/>
    </row>
    <row r="259" ht="12.75" customHeight="1">
      <c r="A259" s="2"/>
      <c r="B259" s="2"/>
      <c r="C259" s="2"/>
      <c r="D259" s="7"/>
      <c r="F259" s="2"/>
      <c r="G259" s="2"/>
      <c r="H259" s="2"/>
      <c r="I259" s="3"/>
      <c r="K259" s="2"/>
      <c r="L259" s="2"/>
      <c r="M259" s="2"/>
      <c r="N259" s="3"/>
      <c r="O259" s="4"/>
      <c r="P259" s="4"/>
    </row>
    <row r="260" ht="12.75" customHeight="1">
      <c r="A260" s="2"/>
      <c r="B260" s="2"/>
      <c r="C260" s="2"/>
      <c r="D260" s="7"/>
      <c r="F260" s="2"/>
      <c r="G260" s="2"/>
      <c r="H260" s="2"/>
      <c r="I260" s="3"/>
      <c r="K260" s="2"/>
      <c r="L260" s="2"/>
      <c r="M260" s="2"/>
      <c r="N260" s="3"/>
      <c r="O260" s="4"/>
      <c r="P260" s="4"/>
    </row>
    <row r="261" ht="12.75" customHeight="1">
      <c r="A261" s="2"/>
      <c r="B261" s="2"/>
      <c r="C261" s="2"/>
      <c r="D261" s="7"/>
      <c r="F261" s="2"/>
      <c r="G261" s="2"/>
      <c r="H261" s="2"/>
      <c r="I261" s="3"/>
      <c r="K261" s="2"/>
      <c r="L261" s="2"/>
      <c r="M261" s="2"/>
      <c r="N261" s="3"/>
      <c r="O261" s="4"/>
      <c r="P261" s="4"/>
    </row>
    <row r="262" ht="12.75" customHeight="1">
      <c r="A262" s="2"/>
      <c r="B262" s="2"/>
      <c r="C262" s="2"/>
      <c r="D262" s="7"/>
      <c r="F262" s="2"/>
      <c r="G262" s="2"/>
      <c r="H262" s="2"/>
      <c r="I262" s="3"/>
      <c r="K262" s="2"/>
      <c r="L262" s="2"/>
      <c r="M262" s="2"/>
      <c r="N262" s="3"/>
      <c r="O262" s="4"/>
      <c r="P262" s="4"/>
    </row>
    <row r="263" ht="12.75" customHeight="1">
      <c r="A263" s="2"/>
      <c r="B263" s="2"/>
      <c r="C263" s="5"/>
      <c r="D263" s="7"/>
      <c r="F263" s="2"/>
      <c r="G263" s="2"/>
      <c r="H263" s="5"/>
      <c r="I263" s="3"/>
      <c r="K263" s="2"/>
      <c r="L263" s="2"/>
      <c r="M263" s="2"/>
      <c r="N263" s="3"/>
      <c r="O263" s="4"/>
      <c r="P263" s="4"/>
    </row>
    <row r="264" ht="12.75" customHeight="1">
      <c r="A264" s="2"/>
      <c r="B264" s="2"/>
      <c r="C264" s="2"/>
      <c r="D264" s="7"/>
      <c r="F264" s="2"/>
      <c r="G264" s="2"/>
      <c r="H264" s="2"/>
      <c r="I264" s="3"/>
      <c r="K264" s="2"/>
      <c r="L264" s="2"/>
      <c r="M264" s="2"/>
      <c r="N264" s="3"/>
      <c r="O264" s="4"/>
      <c r="P264" s="4"/>
    </row>
    <row r="265" ht="12.75" customHeight="1">
      <c r="A265" s="2"/>
      <c r="B265" s="2"/>
      <c r="C265" s="2"/>
      <c r="D265" s="7"/>
      <c r="F265" s="2"/>
      <c r="G265" s="2"/>
      <c r="H265" s="2"/>
      <c r="I265" s="3"/>
      <c r="K265" s="2"/>
      <c r="L265" s="2"/>
      <c r="M265" s="2"/>
      <c r="N265" s="3"/>
      <c r="O265" s="4"/>
      <c r="P265" s="4"/>
    </row>
    <row r="266" ht="12.75" customHeight="1">
      <c r="A266" s="2"/>
      <c r="B266" s="2"/>
      <c r="C266" s="2"/>
      <c r="D266" s="7"/>
      <c r="F266" s="2"/>
      <c r="G266" s="2"/>
      <c r="H266" s="2"/>
      <c r="I266" s="3"/>
      <c r="K266" s="2"/>
      <c r="L266" s="2"/>
      <c r="M266" s="2"/>
      <c r="N266" s="3"/>
      <c r="O266" s="4"/>
      <c r="P266" s="4"/>
    </row>
    <row r="267" ht="12.75" customHeight="1">
      <c r="A267" s="2"/>
      <c r="B267" s="2"/>
      <c r="C267" s="2"/>
      <c r="D267" s="7"/>
      <c r="F267" s="2"/>
      <c r="G267" s="2"/>
      <c r="H267" s="2"/>
      <c r="I267" s="3"/>
      <c r="K267" s="2"/>
      <c r="L267" s="2"/>
      <c r="M267" s="2"/>
      <c r="N267" s="3"/>
      <c r="O267" s="4"/>
      <c r="P267" s="4"/>
    </row>
    <row r="268" ht="12.75" customHeight="1">
      <c r="A268" s="2"/>
      <c r="B268" s="2"/>
      <c r="C268" s="2"/>
      <c r="D268" s="7"/>
      <c r="F268" s="2"/>
      <c r="G268" s="2"/>
      <c r="H268" s="2"/>
      <c r="I268" s="3"/>
      <c r="K268" s="2"/>
      <c r="L268" s="2"/>
      <c r="M268" s="2"/>
      <c r="N268" s="3"/>
      <c r="O268" s="4"/>
      <c r="P268" s="4"/>
    </row>
    <row r="269" ht="12.75" customHeight="1">
      <c r="A269" s="2"/>
      <c r="B269" s="2"/>
      <c r="C269" s="2"/>
      <c r="D269" s="7"/>
      <c r="F269" s="2"/>
      <c r="G269" s="2"/>
      <c r="H269" s="2"/>
      <c r="I269" s="3"/>
      <c r="K269" s="2"/>
      <c r="L269" s="2"/>
      <c r="M269" s="2"/>
      <c r="N269" s="3"/>
      <c r="O269" s="4"/>
      <c r="P269" s="4"/>
    </row>
    <row r="270" ht="12.75" customHeight="1">
      <c r="A270" s="2"/>
      <c r="B270" s="2"/>
      <c r="C270" s="2"/>
      <c r="D270" s="7"/>
      <c r="F270" s="2"/>
      <c r="G270" s="2"/>
      <c r="H270" s="2"/>
      <c r="I270" s="3"/>
      <c r="K270" s="2"/>
      <c r="L270" s="2"/>
      <c r="M270" s="2"/>
      <c r="N270" s="3"/>
      <c r="O270" s="4"/>
      <c r="P270" s="4"/>
    </row>
    <row r="271" ht="12.75" customHeight="1">
      <c r="A271" s="2"/>
      <c r="B271" s="2"/>
      <c r="C271" s="2"/>
      <c r="D271" s="7"/>
      <c r="F271" s="2"/>
      <c r="G271" s="2"/>
      <c r="H271" s="2"/>
      <c r="I271" s="3"/>
      <c r="K271" s="2"/>
      <c r="L271" s="2"/>
      <c r="M271" s="2"/>
      <c r="N271" s="3"/>
      <c r="O271" s="4"/>
      <c r="P271" s="4"/>
    </row>
    <row r="272" ht="12.75" customHeight="1">
      <c r="A272" s="2"/>
      <c r="B272" s="2"/>
      <c r="C272" s="2"/>
      <c r="D272" s="7"/>
      <c r="F272" s="2"/>
      <c r="G272" s="2"/>
      <c r="H272" s="2"/>
      <c r="I272" s="3"/>
      <c r="K272" s="2"/>
      <c r="L272" s="2"/>
      <c r="M272" s="2"/>
      <c r="N272" s="3"/>
      <c r="O272" s="4"/>
      <c r="P272" s="4"/>
    </row>
    <row r="273" ht="12.75" customHeight="1">
      <c r="A273" s="2"/>
      <c r="B273" s="2"/>
      <c r="C273" s="2"/>
      <c r="D273" s="7"/>
      <c r="F273" s="2"/>
      <c r="G273" s="2"/>
      <c r="H273" s="2"/>
      <c r="I273" s="3"/>
      <c r="K273" s="2"/>
      <c r="L273" s="2"/>
      <c r="M273" s="2"/>
      <c r="N273" s="3"/>
      <c r="O273" s="4"/>
      <c r="P273" s="4"/>
    </row>
    <row r="274" ht="12.75" customHeight="1">
      <c r="A274" s="2"/>
      <c r="B274" s="2"/>
      <c r="C274" s="2"/>
      <c r="D274" s="7"/>
      <c r="F274" s="2"/>
      <c r="G274" s="2"/>
      <c r="H274" s="2"/>
      <c r="I274" s="3"/>
      <c r="K274" s="2"/>
      <c r="L274" s="2"/>
      <c r="M274" s="2"/>
      <c r="N274" s="3"/>
      <c r="O274" s="4"/>
      <c r="P274" s="4"/>
    </row>
    <row r="275" ht="12.75" customHeight="1">
      <c r="A275" s="2"/>
      <c r="B275" s="2"/>
      <c r="C275" s="2"/>
      <c r="D275" s="7"/>
      <c r="F275" s="2"/>
      <c r="G275" s="2"/>
      <c r="H275" s="2"/>
      <c r="I275" s="3"/>
      <c r="K275" s="2"/>
      <c r="L275" s="2"/>
      <c r="M275" s="2"/>
      <c r="N275" s="3"/>
      <c r="O275" s="4"/>
      <c r="P275" s="4"/>
    </row>
    <row r="276" ht="12.75" customHeight="1">
      <c r="A276" s="2"/>
      <c r="B276" s="2"/>
      <c r="C276" s="2"/>
      <c r="D276" s="7"/>
      <c r="F276" s="2"/>
      <c r="G276" s="2"/>
      <c r="H276" s="2"/>
      <c r="I276" s="3"/>
      <c r="K276" s="2"/>
      <c r="L276" s="2"/>
      <c r="M276" s="2"/>
      <c r="N276" s="3"/>
      <c r="O276" s="4"/>
      <c r="P276" s="4"/>
    </row>
    <row r="277" ht="12.75" customHeight="1">
      <c r="A277" s="2"/>
      <c r="B277" s="2"/>
      <c r="C277" s="2"/>
      <c r="D277" s="7"/>
      <c r="F277" s="2"/>
      <c r="G277" s="2"/>
      <c r="H277" s="2"/>
      <c r="I277" s="3"/>
      <c r="K277" s="2"/>
      <c r="L277" s="2"/>
      <c r="M277" s="2"/>
      <c r="N277" s="3"/>
      <c r="O277" s="4"/>
      <c r="P277" s="4"/>
    </row>
    <row r="278" ht="12.75" customHeight="1">
      <c r="A278" s="2"/>
      <c r="B278" s="2"/>
      <c r="C278" s="2"/>
      <c r="D278" s="7"/>
      <c r="F278" s="2"/>
      <c r="G278" s="2"/>
      <c r="H278" s="2"/>
      <c r="I278" s="3"/>
      <c r="K278" s="2"/>
      <c r="L278" s="2"/>
      <c r="M278" s="2"/>
      <c r="N278" s="3"/>
      <c r="O278" s="4"/>
      <c r="P278" s="4"/>
    </row>
    <row r="279" ht="12.75" customHeight="1">
      <c r="A279" s="2"/>
      <c r="B279" s="2"/>
      <c r="C279" s="2"/>
      <c r="D279" s="7"/>
      <c r="F279" s="2"/>
      <c r="G279" s="2"/>
      <c r="H279" s="2"/>
      <c r="I279" s="6"/>
      <c r="K279" s="2"/>
      <c r="L279" s="2"/>
      <c r="M279" s="2"/>
      <c r="N279" s="3"/>
      <c r="O279" s="4"/>
      <c r="P279" s="4"/>
    </row>
    <row r="280" ht="12.75" customHeight="1">
      <c r="A280" s="2"/>
      <c r="B280" s="2"/>
      <c r="C280" s="2"/>
      <c r="D280" s="7"/>
      <c r="F280" s="2"/>
      <c r="G280" s="2"/>
      <c r="H280" s="2"/>
      <c r="I280" s="3"/>
      <c r="K280" s="2"/>
      <c r="L280" s="2"/>
      <c r="M280" s="2"/>
      <c r="N280" s="3"/>
      <c r="O280" s="4"/>
      <c r="P280" s="4"/>
    </row>
    <row r="281" ht="12.75" customHeight="1">
      <c r="A281" s="2"/>
      <c r="B281" s="2"/>
      <c r="C281" s="5"/>
      <c r="D281" s="7"/>
      <c r="F281" s="2"/>
      <c r="G281" s="2"/>
      <c r="H281" s="2"/>
      <c r="I281" s="3"/>
      <c r="K281" s="2"/>
      <c r="L281" s="2"/>
      <c r="M281" s="2"/>
      <c r="N281" s="6"/>
      <c r="O281" s="4"/>
      <c r="P281" s="4"/>
    </row>
    <row r="282" ht="12.75" customHeight="1">
      <c r="A282" s="2"/>
      <c r="B282" s="2"/>
      <c r="C282" s="2"/>
      <c r="D282" s="7"/>
      <c r="F282" s="2"/>
      <c r="G282" s="2"/>
      <c r="H282" s="2"/>
      <c r="I282" s="3"/>
      <c r="K282" s="2"/>
      <c r="L282" s="2"/>
      <c r="M282" s="2"/>
      <c r="N282" s="3"/>
      <c r="O282" s="4"/>
      <c r="P282" s="4"/>
    </row>
    <row r="283" ht="12.75" customHeight="1">
      <c r="A283" s="2"/>
      <c r="B283" s="2"/>
      <c r="C283" s="2"/>
      <c r="D283" s="7"/>
      <c r="F283" s="2"/>
      <c r="G283" s="2"/>
      <c r="H283" s="2"/>
      <c r="I283" s="3"/>
      <c r="K283" s="2"/>
      <c r="L283" s="2"/>
      <c r="M283" s="2"/>
      <c r="N283" s="3"/>
      <c r="O283" s="4"/>
      <c r="P283" s="4"/>
    </row>
    <row r="284" ht="12.75" customHeight="1">
      <c r="A284" s="2"/>
      <c r="B284" s="2"/>
      <c r="C284" s="2"/>
      <c r="D284" s="7"/>
      <c r="F284" s="2"/>
      <c r="G284" s="2"/>
      <c r="H284" s="2"/>
      <c r="I284" s="3"/>
      <c r="K284" s="2"/>
      <c r="L284" s="2"/>
      <c r="M284" s="2"/>
      <c r="N284" s="3"/>
      <c r="O284" s="4"/>
      <c r="P284" s="4"/>
    </row>
    <row r="285" ht="12.75" customHeight="1">
      <c r="A285" s="2"/>
      <c r="B285" s="2"/>
      <c r="C285" s="2"/>
      <c r="D285" s="7"/>
      <c r="F285" s="2"/>
      <c r="G285" s="2"/>
      <c r="H285" s="2"/>
      <c r="I285" s="3"/>
      <c r="K285" s="2"/>
      <c r="L285" s="2"/>
      <c r="M285" s="2"/>
      <c r="N285" s="3"/>
      <c r="O285" s="4"/>
      <c r="P285" s="4"/>
    </row>
    <row r="286" ht="12.75" customHeight="1">
      <c r="A286" s="2"/>
      <c r="B286" s="2"/>
      <c r="C286" s="2"/>
      <c r="D286" s="7"/>
      <c r="F286" s="2"/>
      <c r="G286" s="2"/>
      <c r="H286" s="2"/>
      <c r="I286" s="3"/>
      <c r="K286" s="2"/>
      <c r="L286" s="2"/>
      <c r="M286" s="2"/>
      <c r="N286" s="3"/>
      <c r="O286" s="4"/>
      <c r="P286" s="4"/>
    </row>
    <row r="287" ht="12.75" customHeight="1">
      <c r="A287" s="2"/>
      <c r="B287" s="2"/>
      <c r="C287" s="2"/>
      <c r="D287" s="7"/>
      <c r="F287" s="2"/>
      <c r="G287" s="2"/>
      <c r="H287" s="2"/>
      <c r="I287" s="3"/>
      <c r="K287" s="2"/>
      <c r="L287" s="2"/>
      <c r="M287" s="2"/>
      <c r="N287" s="3"/>
      <c r="O287" s="4"/>
      <c r="P287" s="4"/>
    </row>
    <row r="288" ht="12.75" customHeight="1">
      <c r="O288" s="4"/>
      <c r="P288" s="4"/>
    </row>
    <row r="289" ht="12.75" customHeight="1">
      <c r="B289" s="1"/>
    </row>
    <row r="290" ht="12.75" customHeight="1">
      <c r="B290" s="2"/>
      <c r="C290" s="3"/>
      <c r="E290" s="3"/>
      <c r="F290" s="3"/>
      <c r="G290" s="7"/>
    </row>
    <row r="291" ht="12.75" customHeight="1">
      <c r="B291" s="2"/>
      <c r="C291" s="3"/>
      <c r="E291" s="3"/>
      <c r="F291" s="3"/>
      <c r="G291" s="7"/>
    </row>
    <row r="292" ht="12.75" customHeight="1">
      <c r="B292" s="2"/>
      <c r="C292" s="3"/>
      <c r="E292" s="3"/>
      <c r="F292" s="3"/>
      <c r="G292" s="7"/>
    </row>
    <row r="293" ht="12.75" customHeight="1">
      <c r="B293" s="2"/>
      <c r="C293" s="3"/>
      <c r="E293" s="3"/>
      <c r="F293" s="3"/>
      <c r="G293" s="7"/>
    </row>
    <row r="294" ht="12.75" customHeight="1">
      <c r="B294" s="2"/>
      <c r="C294" s="3"/>
      <c r="E294" s="3"/>
      <c r="F294" s="3"/>
      <c r="G294" s="7"/>
    </row>
    <row r="295" ht="12.75" customHeight="1">
      <c r="B295" s="2"/>
      <c r="C295" s="3"/>
      <c r="E295" s="3"/>
      <c r="F295" s="3"/>
      <c r="G295" s="7"/>
    </row>
    <row r="296" ht="12.75" customHeight="1">
      <c r="B296" s="2"/>
      <c r="C296" s="3"/>
      <c r="E296" s="3"/>
      <c r="F296" s="3"/>
      <c r="G296" s="7"/>
    </row>
    <row r="297" ht="12.75" customHeight="1">
      <c r="B297" s="2"/>
      <c r="C297" s="3"/>
      <c r="E297" s="3"/>
      <c r="F297" s="3"/>
      <c r="G297" s="7"/>
    </row>
    <row r="298" ht="12.75" customHeight="1">
      <c r="B298" s="2"/>
      <c r="C298" s="3"/>
      <c r="E298" s="3"/>
      <c r="F298" s="3"/>
      <c r="G298" s="7"/>
    </row>
    <row r="299" ht="12.75" customHeight="1">
      <c r="B299" s="2"/>
      <c r="C299" s="3"/>
      <c r="E299" s="3"/>
      <c r="F299" s="3"/>
      <c r="G299" s="7"/>
    </row>
    <row r="300" ht="12.75" customHeight="1">
      <c r="B300" s="2"/>
      <c r="C300" s="3"/>
      <c r="E300" s="3"/>
      <c r="F300" s="3"/>
      <c r="G300" s="7"/>
    </row>
    <row r="301" ht="12.75" customHeight="1">
      <c r="B301" s="2"/>
      <c r="C301" s="3"/>
      <c r="E301" s="3"/>
      <c r="F301" s="3"/>
      <c r="G301" s="7"/>
    </row>
    <row r="302" ht="12.75" customHeight="1">
      <c r="B302" s="2"/>
      <c r="C302" s="3"/>
      <c r="E302" s="3"/>
      <c r="F302" s="3"/>
      <c r="G302" s="7"/>
    </row>
    <row r="303" ht="12.75" customHeight="1">
      <c r="B303" s="2"/>
      <c r="C303" s="3"/>
      <c r="E303" s="3"/>
      <c r="F303" s="3"/>
      <c r="G303" s="7"/>
    </row>
    <row r="304" ht="12.75" customHeight="1">
      <c r="B304" s="2"/>
      <c r="C304" s="3"/>
    </row>
    <row r="305" ht="12.75" customHeight="1">
      <c r="B305" s="2"/>
      <c r="C305" s="3"/>
    </row>
    <row r="306" ht="12.75" customHeight="1">
      <c r="B306" s="2"/>
      <c r="C306" s="3"/>
    </row>
    <row r="307" ht="12.75" customHeight="1">
      <c r="B307" s="2"/>
      <c r="C307" s="3"/>
    </row>
    <row r="308" ht="12.75" customHeight="1">
      <c r="B308" s="2"/>
      <c r="C308" s="3"/>
    </row>
    <row r="309" ht="12.75" customHeight="1">
      <c r="B309" s="2"/>
      <c r="C309" s="3"/>
    </row>
    <row r="310" ht="12.75" customHeight="1">
      <c r="B310" s="2"/>
      <c r="C310" s="3"/>
    </row>
    <row r="311" ht="12.75" customHeight="1">
      <c r="B311" s="2"/>
      <c r="C311" s="3"/>
    </row>
    <row r="312" ht="12.75" customHeight="1">
      <c r="B312" s="2"/>
      <c r="C312" s="3"/>
    </row>
    <row r="313" ht="12.75" customHeight="1">
      <c r="B313" s="2"/>
      <c r="C313" s="3"/>
    </row>
    <row r="314" ht="12.75" customHeight="1">
      <c r="B314" s="2"/>
      <c r="C314" s="3"/>
    </row>
    <row r="315" ht="12.75" customHeight="1">
      <c r="B315" s="2"/>
      <c r="C315" s="3"/>
    </row>
    <row r="316" ht="12.75" customHeight="1">
      <c r="B316" s="2"/>
      <c r="C316" s="3"/>
    </row>
    <row r="317" ht="12.75" customHeight="1">
      <c r="B317" s="2"/>
      <c r="C317" s="3"/>
    </row>
    <row r="318" ht="12.75" customHeight="1">
      <c r="B318" s="2"/>
      <c r="C318" s="3"/>
    </row>
    <row r="319" ht="12.75" customHeight="1">
      <c r="B319" s="2"/>
      <c r="C319" s="3"/>
    </row>
    <row r="320" ht="12.75" customHeight="1">
      <c r="B320" s="2"/>
      <c r="C320" s="3"/>
    </row>
    <row r="321" ht="12.75" customHeight="1">
      <c r="B321" s="2"/>
      <c r="C321" s="3"/>
    </row>
    <row r="322" ht="12.75" customHeight="1">
      <c r="B322" s="2"/>
      <c r="C322" s="3"/>
    </row>
    <row r="323" ht="12.75" customHeight="1">
      <c r="B323" s="2"/>
      <c r="C323" s="3"/>
    </row>
    <row r="324" ht="12.75" customHeight="1">
      <c r="B324" s="2"/>
      <c r="C324" s="3"/>
    </row>
    <row r="325" ht="12.75" customHeight="1">
      <c r="B325" s="2"/>
      <c r="C325" s="3"/>
    </row>
    <row r="326" ht="12.75" customHeight="1">
      <c r="B326" s="2"/>
      <c r="C326" s="3"/>
    </row>
    <row r="327" ht="12.75" customHeight="1">
      <c r="B327" s="2"/>
      <c r="C327" s="3"/>
    </row>
    <row r="328" ht="12.75" customHeight="1">
      <c r="B328" s="2"/>
      <c r="C328" s="3"/>
    </row>
    <row r="329" ht="12.75" customHeight="1">
      <c r="B329" s="2"/>
      <c r="C329" s="3"/>
    </row>
    <row r="330" ht="12.75" customHeight="1">
      <c r="B330" s="2"/>
      <c r="C330" s="3"/>
    </row>
    <row r="331" ht="12.75" customHeight="1">
      <c r="B331" s="2"/>
      <c r="C331" s="3"/>
    </row>
    <row r="332" ht="12.75" customHeight="1">
      <c r="B332" s="2"/>
      <c r="C332" s="3"/>
    </row>
    <row r="333" ht="12.75" customHeight="1">
      <c r="B333" s="2"/>
      <c r="C333" s="3"/>
    </row>
    <row r="334" ht="12.75" customHeight="1">
      <c r="B334" s="2"/>
      <c r="C334" s="3"/>
    </row>
    <row r="335" ht="12.75" customHeight="1">
      <c r="B335" s="2"/>
      <c r="C335" s="3"/>
    </row>
    <row r="336" ht="12.75" customHeight="1">
      <c r="B336" s="2"/>
      <c r="C336" s="3"/>
    </row>
    <row r="337" ht="12.75" customHeight="1">
      <c r="B337" s="2"/>
      <c r="C337" s="3"/>
    </row>
    <row r="338" ht="12.75" customHeight="1">
      <c r="B338" s="2"/>
      <c r="C338" s="3"/>
    </row>
    <row r="339" ht="12.75" customHeight="1">
      <c r="B339" s="2"/>
      <c r="C339" s="3"/>
    </row>
    <row r="340" ht="12.75" customHeight="1">
      <c r="B340" s="2"/>
      <c r="C340" s="3"/>
    </row>
    <row r="341" ht="12.75" customHeight="1">
      <c r="B341" s="2"/>
      <c r="C341" s="3"/>
    </row>
    <row r="342" ht="12.75" customHeight="1">
      <c r="B342" s="2"/>
      <c r="C342" s="3"/>
    </row>
    <row r="343" ht="12.75" customHeight="1">
      <c r="B343" s="2"/>
      <c r="C343" s="3"/>
    </row>
    <row r="344" ht="12.75" customHeight="1">
      <c r="B344" s="2"/>
      <c r="C344" s="3"/>
    </row>
    <row r="345" ht="12.75" customHeight="1">
      <c r="B345" s="2"/>
      <c r="C345" s="3"/>
    </row>
    <row r="346" ht="12.75" customHeight="1">
      <c r="B346" s="2"/>
      <c r="C346" s="3"/>
    </row>
    <row r="347" ht="12.75" customHeight="1">
      <c r="B347" s="2"/>
      <c r="C347" s="3"/>
    </row>
    <row r="348" ht="12.75" customHeight="1">
      <c r="B348" s="2"/>
      <c r="C348" s="3"/>
    </row>
    <row r="349" ht="12.75" customHeight="1">
      <c r="B349" s="2"/>
      <c r="C349" s="3"/>
    </row>
    <row r="350" ht="12.75" customHeight="1">
      <c r="B350" s="2"/>
      <c r="C350" s="3"/>
    </row>
    <row r="351" ht="12.75" customHeight="1">
      <c r="B351" s="2"/>
      <c r="C351" s="3"/>
    </row>
    <row r="352" ht="12.75" customHeight="1">
      <c r="B352" s="2"/>
      <c r="C352" s="3"/>
    </row>
    <row r="353" ht="12.75" customHeight="1">
      <c r="B353" s="2"/>
      <c r="C353" s="3"/>
    </row>
    <row r="354" ht="12.75" customHeight="1">
      <c r="B354" s="2"/>
      <c r="C354" s="3"/>
    </row>
    <row r="355" ht="12.75" customHeight="1">
      <c r="B355" s="2"/>
      <c r="C355" s="3"/>
    </row>
    <row r="356" ht="12.75" customHeight="1">
      <c r="B356" s="2"/>
      <c r="C356" s="3"/>
    </row>
    <row r="357" ht="12.75" customHeight="1">
      <c r="B357" s="2"/>
      <c r="C357" s="3"/>
    </row>
    <row r="358" ht="12.75" customHeight="1">
      <c r="B358" s="2"/>
      <c r="C358" s="3"/>
    </row>
    <row r="359" ht="12.75" customHeight="1">
      <c r="B359" s="2"/>
      <c r="C359" s="3"/>
    </row>
    <row r="360" ht="12.75" customHeight="1">
      <c r="B360" s="2"/>
      <c r="C360" s="3"/>
    </row>
    <row r="361" ht="12.75" customHeight="1">
      <c r="B361" s="2"/>
      <c r="C361" s="3"/>
    </row>
    <row r="362" ht="12.75" customHeight="1">
      <c r="B362" s="2"/>
      <c r="C362" s="3"/>
    </row>
    <row r="363" ht="12.75" customHeight="1">
      <c r="B363" s="2"/>
      <c r="C363" s="3"/>
    </row>
    <row r="364" ht="12.75" customHeight="1">
      <c r="B364" s="2"/>
      <c r="C364" s="3"/>
    </row>
    <row r="365" ht="12.75" customHeight="1">
      <c r="B365" s="2"/>
      <c r="C365" s="3"/>
    </row>
    <row r="366" ht="12.75" customHeight="1">
      <c r="B366" s="2"/>
      <c r="C366" s="3"/>
    </row>
    <row r="367" ht="12.75" customHeight="1">
      <c r="B367" s="2"/>
      <c r="C367" s="3"/>
    </row>
    <row r="368" ht="12.75" customHeight="1">
      <c r="B368" s="2"/>
      <c r="C368" s="3"/>
    </row>
    <row r="369" ht="12.75" customHeight="1">
      <c r="B369" s="2"/>
      <c r="C369" s="3"/>
    </row>
    <row r="370" ht="12.75" customHeight="1">
      <c r="B370" s="2"/>
      <c r="C370" s="3"/>
    </row>
    <row r="371" ht="12.75" customHeight="1">
      <c r="B371" s="2"/>
      <c r="C371" s="3"/>
    </row>
    <row r="372" ht="12.75" customHeight="1">
      <c r="B372" s="2"/>
      <c r="C372" s="3"/>
    </row>
    <row r="373" ht="12.75" customHeight="1">
      <c r="B373" s="2"/>
      <c r="C373" s="3"/>
    </row>
    <row r="374" ht="12.75" customHeight="1">
      <c r="B374" s="2"/>
      <c r="C374" s="3"/>
    </row>
    <row r="375" ht="12.75" customHeight="1">
      <c r="B375" s="2"/>
      <c r="C375" s="3"/>
    </row>
    <row r="376" ht="12.75" customHeight="1">
      <c r="B376" s="2"/>
      <c r="C376" s="3"/>
    </row>
    <row r="377" ht="12.75" customHeight="1">
      <c r="B377" s="2"/>
      <c r="C377" s="3"/>
    </row>
    <row r="378" ht="12.75" customHeight="1">
      <c r="B378" s="2"/>
      <c r="C378" s="3"/>
    </row>
    <row r="379" ht="12.75" customHeight="1">
      <c r="B379" s="2"/>
      <c r="C379" s="3"/>
    </row>
    <row r="380" ht="12.75" customHeight="1">
      <c r="B380" s="2"/>
      <c r="C380" s="3"/>
    </row>
    <row r="381" ht="12.75" customHeight="1">
      <c r="B381" s="2"/>
      <c r="C381" s="3"/>
    </row>
    <row r="382" ht="12.75" customHeight="1">
      <c r="B382" s="2"/>
      <c r="C382" s="3"/>
    </row>
    <row r="383" ht="12.75" customHeight="1">
      <c r="B383" s="2"/>
      <c r="C383" s="3"/>
    </row>
    <row r="384" ht="12.75" customHeight="1">
      <c r="B384" s="2"/>
      <c r="C384" s="3"/>
    </row>
    <row r="385" ht="12.75" customHeight="1">
      <c r="B385" s="2"/>
      <c r="C385" s="3"/>
    </row>
    <row r="386" ht="12.75" customHeight="1">
      <c r="B386" s="2"/>
      <c r="C386" s="3"/>
    </row>
    <row r="387" ht="12.75" customHeight="1">
      <c r="B387" s="2"/>
      <c r="C387" s="3"/>
    </row>
    <row r="388" ht="12.75" customHeight="1">
      <c r="B388" s="2"/>
      <c r="C388" s="3"/>
    </row>
    <row r="389" ht="12.75" customHeight="1">
      <c r="B389" s="2"/>
      <c r="C389" s="3"/>
    </row>
    <row r="390" ht="12.75" customHeight="1">
      <c r="B390" s="2"/>
      <c r="C390" s="3"/>
    </row>
    <row r="391" ht="12.75" customHeight="1">
      <c r="B391" s="2"/>
      <c r="C391" s="3"/>
    </row>
    <row r="392" ht="12.75" customHeight="1">
      <c r="B392" s="2"/>
      <c r="C392" s="3"/>
    </row>
    <row r="393" ht="12.75" customHeight="1">
      <c r="B393" s="2"/>
      <c r="C393" s="3"/>
    </row>
    <row r="394" ht="12.75" customHeight="1">
      <c r="B394" s="2"/>
      <c r="C394" s="3"/>
    </row>
    <row r="395" ht="12.75" customHeight="1">
      <c r="B395" s="2"/>
      <c r="C395" s="3"/>
    </row>
    <row r="396" ht="12.75" customHeight="1">
      <c r="B396" s="2"/>
      <c r="C396" s="3"/>
    </row>
    <row r="397" ht="12.75" customHeight="1">
      <c r="B397" s="2"/>
      <c r="C397" s="3"/>
    </row>
    <row r="398" ht="12.75" customHeight="1">
      <c r="B398" s="2"/>
      <c r="C398" s="3"/>
    </row>
    <row r="399" ht="12.75" customHeight="1">
      <c r="B399" s="2"/>
      <c r="C399" s="3"/>
    </row>
    <row r="400" ht="12.75" customHeight="1">
      <c r="B400" s="2"/>
      <c r="C400" s="3"/>
    </row>
    <row r="401" ht="12.75" customHeight="1">
      <c r="B401" s="2"/>
      <c r="C401" s="3"/>
    </row>
    <row r="402" ht="12.75" customHeight="1">
      <c r="B402" s="2"/>
      <c r="C402" s="3"/>
    </row>
    <row r="403" ht="12.75" customHeight="1">
      <c r="B403" s="2"/>
      <c r="C403" s="3"/>
    </row>
    <row r="404" ht="12.75" customHeight="1">
      <c r="B404" s="2"/>
      <c r="C404" s="3"/>
    </row>
    <row r="405" ht="12.75" customHeight="1">
      <c r="B405" s="2"/>
      <c r="C405" s="3"/>
    </row>
    <row r="406" ht="12.75" customHeight="1">
      <c r="B406" s="2"/>
      <c r="C406" s="3"/>
    </row>
    <row r="407" ht="12.75" customHeight="1">
      <c r="B407" s="2"/>
      <c r="C407" s="3"/>
    </row>
    <row r="408" ht="12.75" customHeight="1">
      <c r="B408" s="2"/>
      <c r="C408" s="3"/>
    </row>
    <row r="409" ht="12.75" customHeight="1">
      <c r="B409" s="2"/>
      <c r="C409" s="3"/>
    </row>
    <row r="410" ht="12.75" customHeight="1">
      <c r="B410" s="2"/>
      <c r="C410" s="3"/>
    </row>
    <row r="411" ht="12.75" customHeight="1">
      <c r="B411" s="2"/>
      <c r="C411" s="3"/>
    </row>
    <row r="412" ht="12.75" customHeight="1">
      <c r="B412" s="2"/>
      <c r="C412" s="3"/>
    </row>
    <row r="413" ht="12.75" customHeight="1">
      <c r="B413" s="2"/>
      <c r="C413" s="3"/>
    </row>
    <row r="414" ht="12.75" customHeight="1">
      <c r="B414" s="2"/>
      <c r="C414" s="3"/>
    </row>
    <row r="415" ht="12.75" customHeight="1">
      <c r="B415" s="2"/>
      <c r="C415" s="3"/>
    </row>
    <row r="416" ht="12.75" customHeight="1">
      <c r="B416" s="2"/>
      <c r="C416" s="3"/>
    </row>
    <row r="417" ht="12.75" customHeight="1">
      <c r="B417" s="2"/>
      <c r="C417" s="3"/>
    </row>
    <row r="418" ht="12.75" customHeight="1">
      <c r="B418" s="2"/>
      <c r="C418" s="3"/>
    </row>
    <row r="419" ht="12.75" customHeight="1">
      <c r="B419" s="2"/>
      <c r="C419" s="3"/>
    </row>
    <row r="420" ht="12.75" customHeight="1">
      <c r="B420" s="2"/>
      <c r="C420" s="3"/>
    </row>
    <row r="421" ht="12.75" customHeight="1">
      <c r="B421" s="2"/>
      <c r="C421" s="3"/>
    </row>
    <row r="422" ht="12.75" customHeight="1">
      <c r="B422" s="2"/>
      <c r="C422" s="3"/>
    </row>
    <row r="423" ht="12.75" customHeight="1">
      <c r="B423" s="2"/>
      <c r="C423" s="3"/>
    </row>
    <row r="424" ht="12.75" customHeight="1">
      <c r="B424" s="2"/>
      <c r="C424" s="3"/>
    </row>
    <row r="425" ht="12.75" customHeight="1">
      <c r="B425" s="2"/>
      <c r="C425" s="3"/>
    </row>
    <row r="426" ht="12.75" customHeight="1">
      <c r="B426" s="2"/>
      <c r="C426" s="3"/>
    </row>
    <row r="427" ht="12.75" customHeight="1">
      <c r="B427" s="2"/>
      <c r="C427" s="3"/>
    </row>
    <row r="428" ht="12.75" customHeight="1">
      <c r="B428" s="2"/>
      <c r="C428" s="3"/>
    </row>
    <row r="429" ht="12.75" customHeight="1">
      <c r="B429" s="2"/>
      <c r="C429" s="3"/>
    </row>
    <row r="430" ht="12.75" customHeight="1">
      <c r="B430" s="2"/>
      <c r="C430" s="3"/>
    </row>
    <row r="431" ht="12.75" customHeight="1">
      <c r="B431" s="2"/>
      <c r="C431" s="3"/>
    </row>
    <row r="432" ht="12.75" customHeight="1">
      <c r="B432" s="2"/>
      <c r="C432" s="3"/>
    </row>
    <row r="433" ht="12.75" customHeight="1">
      <c r="B433" s="2"/>
      <c r="C433" s="3"/>
    </row>
    <row r="434" ht="12.75" customHeight="1">
      <c r="B434" s="2"/>
      <c r="C434" s="3"/>
    </row>
    <row r="435" ht="12.75" customHeight="1">
      <c r="B435" s="2"/>
      <c r="C435" s="3"/>
    </row>
    <row r="436" ht="12.75" customHeight="1">
      <c r="B436" s="2"/>
      <c r="C436" s="3"/>
    </row>
    <row r="437" ht="12.75" customHeight="1">
      <c r="B437" s="2"/>
      <c r="C437" s="3"/>
    </row>
    <row r="438" ht="12.75" customHeight="1">
      <c r="B438" s="2"/>
      <c r="C438" s="3"/>
    </row>
    <row r="439" ht="12.75" customHeight="1">
      <c r="B439" s="2"/>
      <c r="C439" s="3"/>
    </row>
    <row r="440" ht="12.75" customHeight="1">
      <c r="B440" s="2"/>
      <c r="C440" s="3"/>
    </row>
    <row r="441" ht="12.75" customHeight="1">
      <c r="B441" s="2"/>
      <c r="C441" s="3"/>
    </row>
    <row r="442" ht="12.75" customHeight="1">
      <c r="B442" s="2"/>
      <c r="C442" s="3"/>
    </row>
    <row r="443" ht="12.75" customHeight="1">
      <c r="B443" s="2"/>
      <c r="C443" s="3"/>
    </row>
    <row r="444" ht="12.75" customHeight="1">
      <c r="B444" s="2"/>
      <c r="C444" s="3"/>
    </row>
    <row r="445" ht="12.75" customHeight="1">
      <c r="B445" s="2"/>
      <c r="C445" s="3"/>
    </row>
    <row r="446" ht="12.75" customHeight="1">
      <c r="B446" s="2"/>
      <c r="C446" s="3"/>
    </row>
    <row r="447" ht="12.75" customHeight="1">
      <c r="B447" s="2"/>
      <c r="C447" s="3"/>
    </row>
    <row r="448" ht="12.75" customHeight="1">
      <c r="B448" s="2"/>
      <c r="C448" s="3"/>
    </row>
    <row r="449" ht="12.75" customHeight="1">
      <c r="B449" s="2"/>
      <c r="C449" s="3"/>
    </row>
    <row r="450" ht="12.75" customHeight="1">
      <c r="B450" s="2"/>
      <c r="C450" s="3"/>
    </row>
    <row r="451" ht="12.75" customHeight="1">
      <c r="B451" s="2"/>
      <c r="C451" s="3"/>
    </row>
    <row r="452" ht="12.75" customHeight="1">
      <c r="B452" s="2"/>
      <c r="C452" s="3"/>
    </row>
    <row r="453" ht="12.75" customHeight="1">
      <c r="B453" s="2"/>
      <c r="C453" s="3"/>
    </row>
    <row r="454" ht="12.75" customHeight="1">
      <c r="B454" s="2"/>
      <c r="C454" s="3"/>
    </row>
    <row r="455" ht="12.75" customHeight="1">
      <c r="B455" s="2"/>
      <c r="C455" s="3"/>
    </row>
    <row r="456" ht="12.75" customHeight="1">
      <c r="B456" s="2"/>
      <c r="C456" s="3"/>
    </row>
    <row r="457" ht="12.75" customHeight="1">
      <c r="B457" s="2"/>
      <c r="C457" s="3"/>
    </row>
    <row r="458" ht="12.75" customHeight="1">
      <c r="B458" s="2"/>
      <c r="C458" s="3"/>
    </row>
    <row r="459" ht="12.75" customHeight="1">
      <c r="B459" s="2"/>
      <c r="C459" s="3"/>
    </row>
    <row r="460" ht="12.75" customHeight="1">
      <c r="B460" s="2"/>
      <c r="C460" s="3"/>
    </row>
    <row r="461" ht="12.75" customHeight="1">
      <c r="B461" s="2"/>
      <c r="C461" s="3"/>
    </row>
    <row r="462" ht="12.75" customHeight="1">
      <c r="B462" s="2"/>
      <c r="C462" s="3"/>
    </row>
    <row r="463" ht="12.75" customHeight="1">
      <c r="B463" s="2"/>
      <c r="C463" s="3"/>
    </row>
    <row r="464" ht="12.75" customHeight="1">
      <c r="B464" s="2"/>
      <c r="C464" s="3"/>
    </row>
    <row r="465" ht="12.75" customHeight="1">
      <c r="B465" s="2"/>
      <c r="C465" s="3"/>
    </row>
    <row r="466" ht="12.75" customHeight="1">
      <c r="B466" s="2"/>
      <c r="C466" s="3"/>
    </row>
    <row r="467" ht="12.75" customHeight="1">
      <c r="B467" s="2"/>
      <c r="C467" s="3"/>
    </row>
    <row r="468" ht="12.75" customHeight="1">
      <c r="B468" s="2"/>
      <c r="C468" s="3"/>
    </row>
    <row r="469" ht="12.75" customHeight="1">
      <c r="B469" s="2"/>
      <c r="C469" s="3"/>
    </row>
    <row r="470" ht="12.75" customHeight="1">
      <c r="B470" s="2"/>
      <c r="C470" s="3"/>
    </row>
    <row r="471" ht="12.75" customHeight="1">
      <c r="B471" s="2"/>
      <c r="C471" s="3"/>
    </row>
    <row r="472" ht="12.75" customHeight="1">
      <c r="B472" s="2"/>
      <c r="C472" s="3"/>
    </row>
    <row r="473" ht="12.75" customHeight="1">
      <c r="B473" s="2"/>
      <c r="C473" s="3"/>
    </row>
    <row r="474" ht="12.75" customHeight="1">
      <c r="B474" s="2"/>
      <c r="C474" s="3"/>
    </row>
    <row r="475" ht="12.75" customHeight="1">
      <c r="B475" s="2"/>
      <c r="C475" s="3"/>
    </row>
    <row r="476" ht="12.75" customHeight="1">
      <c r="B476" s="2"/>
      <c r="C476" s="3"/>
    </row>
    <row r="477" ht="12.75" customHeight="1">
      <c r="B477" s="2"/>
      <c r="C477" s="3"/>
    </row>
    <row r="478" ht="12.75" customHeight="1">
      <c r="B478" s="2"/>
      <c r="C478" s="3"/>
    </row>
    <row r="479" ht="12.75" customHeight="1">
      <c r="B479" s="2"/>
      <c r="C479" s="3"/>
    </row>
    <row r="480" ht="12.75" customHeight="1">
      <c r="B480" s="2"/>
      <c r="C480" s="3"/>
    </row>
    <row r="481" ht="12.75" customHeight="1">
      <c r="B481" s="2"/>
      <c r="C481" s="3"/>
    </row>
    <row r="482" ht="12.75" customHeight="1">
      <c r="B482" s="2"/>
      <c r="C482" s="3"/>
    </row>
    <row r="483" ht="12.75" customHeight="1">
      <c r="B483" s="2"/>
      <c r="C483" s="3"/>
    </row>
    <row r="484" ht="12.75" customHeight="1">
      <c r="B484" s="2"/>
      <c r="C484" s="3"/>
    </row>
    <row r="485" ht="12.75" customHeight="1">
      <c r="B485" s="2"/>
      <c r="C485" s="3"/>
    </row>
    <row r="486" ht="12.75" customHeight="1">
      <c r="B486" s="2"/>
      <c r="C486" s="3"/>
    </row>
    <row r="487" ht="12.75" customHeight="1">
      <c r="B487" s="2"/>
      <c r="C487" s="3"/>
    </row>
    <row r="488" ht="12.75" customHeight="1">
      <c r="B488" s="2"/>
      <c r="C488" s="3"/>
    </row>
    <row r="489" ht="12.75" customHeight="1">
      <c r="B489" s="2"/>
      <c r="C489" s="3"/>
    </row>
    <row r="490" ht="12.75" customHeight="1">
      <c r="B490" s="2"/>
      <c r="C490" s="3"/>
    </row>
    <row r="491" ht="12.75" customHeight="1">
      <c r="B491" s="2"/>
      <c r="C491" s="3"/>
    </row>
    <row r="492" ht="12.75" customHeight="1">
      <c r="B492" s="2"/>
      <c r="C492" s="3"/>
    </row>
    <row r="493" ht="12.75" customHeight="1">
      <c r="B493" s="2"/>
      <c r="C493" s="3"/>
    </row>
    <row r="494" ht="12.75" customHeight="1">
      <c r="B494" s="2"/>
      <c r="C494" s="3"/>
    </row>
    <row r="495" ht="12.75" customHeight="1">
      <c r="B495" s="2"/>
      <c r="C495" s="3"/>
    </row>
    <row r="496" ht="12.75" customHeight="1">
      <c r="B496" s="2"/>
      <c r="C496" s="3"/>
    </row>
    <row r="497" ht="12.75" customHeight="1">
      <c r="B497" s="2"/>
      <c r="C497" s="3"/>
    </row>
    <row r="498" ht="12.75" customHeight="1">
      <c r="B498" s="2"/>
      <c r="C498" s="3"/>
    </row>
    <row r="499" ht="12.75" customHeight="1">
      <c r="B499" s="2"/>
      <c r="C499" s="3"/>
    </row>
    <row r="500" ht="12.75" customHeight="1">
      <c r="B500" s="2"/>
      <c r="C500" s="3"/>
    </row>
    <row r="501" ht="12.75" customHeight="1">
      <c r="B501" s="2"/>
      <c r="C501" s="3"/>
    </row>
    <row r="502" ht="12.75" customHeight="1">
      <c r="B502" s="2"/>
      <c r="C502" s="3"/>
    </row>
    <row r="503" ht="12.75" customHeight="1">
      <c r="B503" s="2"/>
      <c r="C503" s="3"/>
    </row>
    <row r="504" ht="12.75" customHeight="1">
      <c r="B504" s="2"/>
      <c r="C504" s="3"/>
    </row>
    <row r="505" ht="12.75" customHeight="1">
      <c r="B505" s="2"/>
      <c r="C505" s="3"/>
    </row>
    <row r="506" ht="12.75" customHeight="1">
      <c r="B506" s="2"/>
      <c r="C506" s="3"/>
    </row>
    <row r="507" ht="12.75" customHeight="1">
      <c r="B507" s="2"/>
      <c r="C507" s="3"/>
    </row>
    <row r="508" ht="12.75" customHeight="1">
      <c r="B508" s="2"/>
      <c r="C508" s="3"/>
    </row>
    <row r="509" ht="12.75" customHeight="1">
      <c r="B509" s="2"/>
      <c r="C509" s="3"/>
    </row>
    <row r="510" ht="12.75" customHeight="1">
      <c r="B510" s="2"/>
      <c r="C510" s="3"/>
    </row>
    <row r="511" ht="12.75" customHeight="1">
      <c r="B511" s="2"/>
      <c r="C511" s="3"/>
    </row>
    <row r="512" ht="12.75" customHeight="1">
      <c r="B512" s="2"/>
      <c r="C512" s="3"/>
    </row>
    <row r="513" ht="12.75" customHeight="1">
      <c r="B513" s="2"/>
      <c r="C513" s="3"/>
    </row>
    <row r="514" ht="12.75" customHeight="1">
      <c r="B514" s="2"/>
      <c r="C514" s="3"/>
    </row>
    <row r="515" ht="12.75" customHeight="1">
      <c r="B515" s="2"/>
      <c r="C515" s="3"/>
    </row>
    <row r="516" ht="12.75" customHeight="1">
      <c r="B516" s="2"/>
      <c r="C516" s="3"/>
    </row>
    <row r="517" ht="12.75" customHeight="1">
      <c r="B517" s="2"/>
      <c r="C517" s="3"/>
    </row>
    <row r="518" ht="12.75" customHeight="1">
      <c r="B518" s="2"/>
      <c r="C518" s="3"/>
    </row>
    <row r="519" ht="12.75" customHeight="1">
      <c r="B519" s="2"/>
      <c r="C519" s="3"/>
    </row>
    <row r="520" ht="12.75" customHeight="1">
      <c r="B520" s="2"/>
      <c r="C520" s="3"/>
    </row>
    <row r="521" ht="12.75" customHeight="1">
      <c r="B521" s="2"/>
      <c r="C521" s="3"/>
    </row>
    <row r="522" ht="12.75" customHeight="1">
      <c r="B522" s="2"/>
      <c r="C522" s="3"/>
    </row>
    <row r="523" ht="12.75" customHeight="1">
      <c r="B523" s="2"/>
      <c r="C523" s="3"/>
    </row>
    <row r="524" ht="12.75" customHeight="1">
      <c r="B524" s="2"/>
      <c r="C524" s="3"/>
    </row>
    <row r="525" ht="12.75" customHeight="1">
      <c r="B525" s="2"/>
      <c r="C525" s="3"/>
    </row>
    <row r="526" ht="12.75" customHeight="1">
      <c r="B526" s="2"/>
      <c r="C526" s="3"/>
    </row>
    <row r="527" ht="12.75" customHeight="1">
      <c r="B527" s="2"/>
      <c r="C527" s="3"/>
    </row>
    <row r="528" ht="12.75" customHeight="1">
      <c r="B528" s="2"/>
      <c r="C528" s="3"/>
    </row>
    <row r="529" ht="12.75" customHeight="1">
      <c r="B529" s="2"/>
      <c r="C529" s="3"/>
    </row>
    <row r="530" ht="12.75" customHeight="1">
      <c r="B530" s="2"/>
      <c r="C530" s="3"/>
    </row>
    <row r="531" ht="12.75" customHeight="1">
      <c r="B531" s="2"/>
      <c r="C531" s="3"/>
    </row>
    <row r="532" ht="12.75" customHeight="1">
      <c r="B532" s="2"/>
      <c r="C532" s="3"/>
    </row>
    <row r="533" ht="12.75" customHeight="1">
      <c r="B533" s="2"/>
      <c r="C533" s="3"/>
    </row>
    <row r="534" ht="12.75" customHeight="1">
      <c r="B534" s="2"/>
      <c r="C534" s="3"/>
    </row>
    <row r="535" ht="12.75" customHeight="1">
      <c r="B535" s="2"/>
      <c r="C535" s="3"/>
    </row>
    <row r="536" ht="12.75" customHeight="1">
      <c r="B536" s="2"/>
      <c r="C536" s="3"/>
    </row>
    <row r="537" ht="12.75" customHeight="1">
      <c r="B537" s="2"/>
      <c r="C537" s="3"/>
    </row>
    <row r="538" ht="12.75" customHeight="1">
      <c r="B538" s="2"/>
      <c r="C538" s="3"/>
    </row>
    <row r="539" ht="12.75" customHeight="1">
      <c r="B539" s="2"/>
      <c r="C539" s="3"/>
    </row>
    <row r="540" ht="12.75" customHeight="1">
      <c r="B540" s="2"/>
      <c r="C540" s="3"/>
    </row>
    <row r="541" ht="12.75" customHeight="1">
      <c r="B541" s="2"/>
      <c r="C541" s="3"/>
    </row>
    <row r="542" ht="12.75" customHeight="1">
      <c r="B542" s="2"/>
      <c r="C542" s="3"/>
    </row>
    <row r="543" ht="12.75" customHeight="1">
      <c r="B543" s="2"/>
      <c r="C543" s="3"/>
    </row>
    <row r="544" ht="12.75" customHeight="1">
      <c r="B544" s="2"/>
      <c r="C544" s="3"/>
    </row>
    <row r="545" ht="12.75" customHeight="1">
      <c r="B545" s="2"/>
      <c r="C545" s="3"/>
    </row>
    <row r="546" ht="12.75" customHeight="1">
      <c r="B546" s="2"/>
      <c r="C546" s="3"/>
    </row>
    <row r="547" ht="12.75" customHeight="1">
      <c r="B547" s="2"/>
      <c r="C547" s="3"/>
    </row>
    <row r="548" ht="12.75" customHeight="1">
      <c r="B548" s="2"/>
      <c r="C548" s="3"/>
    </row>
    <row r="549" ht="12.75" customHeight="1">
      <c r="B549" s="2"/>
      <c r="C549" s="3"/>
    </row>
    <row r="550" ht="12.75" customHeight="1">
      <c r="B550" s="2"/>
      <c r="C550" s="3"/>
    </row>
    <row r="551" ht="12.75" customHeight="1">
      <c r="B551" s="2"/>
      <c r="C551" s="3"/>
    </row>
    <row r="552" ht="12.75" customHeight="1">
      <c r="B552" s="2"/>
      <c r="C552" s="3"/>
    </row>
    <row r="553" ht="12.75" customHeight="1">
      <c r="B553" s="2"/>
      <c r="C553" s="3"/>
    </row>
    <row r="554" ht="12.75" customHeight="1">
      <c r="B554" s="2"/>
      <c r="C554" s="3"/>
    </row>
    <row r="555" ht="12.75" customHeight="1">
      <c r="B555" s="2"/>
      <c r="C555" s="3"/>
    </row>
    <row r="556" ht="12.75" customHeight="1">
      <c r="B556" s="2"/>
      <c r="C556" s="3"/>
    </row>
    <row r="557" ht="12.75" customHeight="1">
      <c r="B557" s="2"/>
      <c r="C557" s="3"/>
    </row>
    <row r="558" ht="12.75" customHeight="1">
      <c r="B558" s="2"/>
      <c r="C558" s="3"/>
    </row>
    <row r="559" ht="12.75" customHeight="1">
      <c r="B559" s="2"/>
      <c r="C559" s="3"/>
    </row>
    <row r="560" ht="12.75" customHeight="1">
      <c r="B560" s="2"/>
      <c r="C560" s="3"/>
    </row>
    <row r="561" ht="12.75" customHeight="1">
      <c r="B561" s="2"/>
      <c r="C561" s="3"/>
    </row>
    <row r="562" ht="12.75" customHeight="1">
      <c r="B562" s="2"/>
      <c r="C562" s="3"/>
    </row>
    <row r="563" ht="12.75" customHeight="1">
      <c r="B563" s="2"/>
      <c r="C563" s="3"/>
    </row>
    <row r="564" ht="12.75" customHeight="1">
      <c r="B564" s="2"/>
      <c r="C564" s="3"/>
    </row>
    <row r="565" ht="12.75" customHeight="1">
      <c r="B565" s="2"/>
      <c r="C565" s="3"/>
    </row>
    <row r="566" ht="12.75" customHeight="1">
      <c r="B566" s="2"/>
      <c r="C566" s="3"/>
    </row>
    <row r="567" ht="12.75" customHeight="1">
      <c r="B567" s="2"/>
      <c r="C567" s="3"/>
    </row>
    <row r="568" ht="12.75" customHeight="1">
      <c r="B568" s="2"/>
      <c r="C568" s="3"/>
    </row>
    <row r="569" ht="12.75" customHeight="1">
      <c r="B569" s="2"/>
      <c r="C569" s="3"/>
    </row>
    <row r="570" ht="12.75" customHeight="1">
      <c r="B570" s="2"/>
      <c r="C570" s="3"/>
    </row>
    <row r="571" ht="12.75" customHeight="1">
      <c r="B571" s="2"/>
      <c r="C571" s="3"/>
    </row>
    <row r="572" ht="12.75" customHeight="1">
      <c r="B572" s="2"/>
      <c r="C572" s="3"/>
    </row>
    <row r="573" ht="12.75" customHeight="1">
      <c r="B573" s="2"/>
      <c r="C573" s="3"/>
    </row>
    <row r="574" ht="12.75" customHeight="1">
      <c r="B574" s="2"/>
      <c r="C574" s="3"/>
    </row>
    <row r="575" ht="12.75" customHeight="1">
      <c r="B575" s="2"/>
      <c r="C575" s="3"/>
    </row>
    <row r="576" ht="12.75" customHeight="1">
      <c r="B576" s="2"/>
      <c r="C576" s="3"/>
    </row>
    <row r="577" ht="12.75" customHeight="1">
      <c r="B577" s="2"/>
      <c r="C577" s="3"/>
    </row>
    <row r="578" ht="12.75" customHeight="1">
      <c r="B578" s="2"/>
      <c r="C578" s="3"/>
    </row>
    <row r="579" ht="12.75" customHeight="1">
      <c r="B579" s="2"/>
      <c r="C579" s="3"/>
    </row>
    <row r="580" ht="12.75" customHeight="1">
      <c r="B580" s="2"/>
      <c r="C580" s="3"/>
    </row>
    <row r="581" ht="12.75" customHeight="1">
      <c r="B581" s="2"/>
      <c r="C581" s="3"/>
    </row>
    <row r="582" ht="12.75" customHeight="1">
      <c r="B582" s="2"/>
      <c r="C582" s="3"/>
    </row>
    <row r="583" ht="12.75" customHeight="1">
      <c r="B583" s="2"/>
      <c r="C583" s="3"/>
    </row>
    <row r="584" ht="12.75" customHeight="1">
      <c r="B584" s="2"/>
      <c r="C584" s="3"/>
    </row>
    <row r="585" ht="12.75" customHeight="1">
      <c r="B585" s="2"/>
      <c r="C585" s="3"/>
    </row>
    <row r="586" ht="12.75" customHeight="1">
      <c r="B586" s="2"/>
      <c r="C586" s="3"/>
    </row>
    <row r="587" ht="12.75" customHeight="1">
      <c r="B587" s="2"/>
      <c r="C587" s="3"/>
    </row>
    <row r="588" ht="12.75" customHeight="1">
      <c r="B588" s="2"/>
      <c r="C588" s="3"/>
    </row>
    <row r="589" ht="12.75" customHeight="1">
      <c r="B589" s="2"/>
      <c r="C589" s="3"/>
    </row>
    <row r="590" ht="12.75" customHeight="1">
      <c r="B590" s="2"/>
      <c r="C590" s="3"/>
    </row>
    <row r="591" ht="12.75" customHeight="1">
      <c r="B591" s="2"/>
      <c r="C591" s="3"/>
    </row>
    <row r="592" ht="12.75" customHeight="1">
      <c r="B592" s="2"/>
      <c r="C592" s="3"/>
    </row>
    <row r="593" ht="12.75" customHeight="1">
      <c r="B593" s="2"/>
      <c r="C593" s="3"/>
    </row>
    <row r="594" ht="12.75" customHeight="1">
      <c r="B594" s="2"/>
      <c r="C594" s="3"/>
    </row>
    <row r="595" ht="12.75" customHeight="1">
      <c r="B595" s="2"/>
      <c r="C595" s="3"/>
    </row>
    <row r="596" ht="12.75" customHeight="1">
      <c r="B596" s="2"/>
      <c r="C596" s="3"/>
    </row>
    <row r="597" ht="12.75" customHeight="1">
      <c r="B597" s="2"/>
      <c r="C597" s="3"/>
    </row>
    <row r="598" ht="12.75" customHeight="1">
      <c r="B598" s="2"/>
      <c r="C598" s="3"/>
    </row>
    <row r="599" ht="12.75" customHeight="1">
      <c r="B599" s="2"/>
      <c r="C599" s="3"/>
    </row>
    <row r="600" ht="12.75" customHeight="1">
      <c r="B600" s="2"/>
      <c r="C600" s="3"/>
    </row>
    <row r="601" ht="12.75" customHeight="1">
      <c r="B601" s="2"/>
      <c r="C601" s="3"/>
    </row>
    <row r="602" ht="12.75" customHeight="1">
      <c r="B602" s="2"/>
      <c r="C602" s="3"/>
    </row>
    <row r="603" ht="12.75" customHeight="1">
      <c r="B603" s="2"/>
      <c r="C603" s="3"/>
    </row>
    <row r="604" ht="12.75" customHeight="1">
      <c r="B604" s="2"/>
      <c r="C604" s="3"/>
    </row>
    <row r="605" ht="12.75" customHeight="1">
      <c r="B605" s="2"/>
      <c r="C605" s="3"/>
    </row>
    <row r="606" ht="12.75" customHeight="1">
      <c r="B606" s="2"/>
      <c r="C606" s="3"/>
    </row>
    <row r="607" ht="12.75" customHeight="1">
      <c r="B607" s="2"/>
      <c r="C607" s="3"/>
    </row>
    <row r="608" ht="12.75" customHeight="1">
      <c r="B608" s="2"/>
      <c r="C608" s="3"/>
    </row>
    <row r="609" ht="12.75" customHeight="1">
      <c r="B609" s="2"/>
      <c r="C609" s="3"/>
    </row>
    <row r="610" ht="12.75" customHeight="1">
      <c r="B610" s="2"/>
      <c r="C610" s="3"/>
    </row>
    <row r="611" ht="12.75" customHeight="1">
      <c r="B611" s="2"/>
      <c r="C611" s="3"/>
    </row>
    <row r="612" ht="12.75" customHeight="1">
      <c r="B612" s="2"/>
      <c r="C612" s="3"/>
    </row>
    <row r="613" ht="12.75" customHeight="1">
      <c r="B613" s="2"/>
      <c r="C613" s="3"/>
    </row>
    <row r="614" ht="12.75" customHeight="1">
      <c r="B614" s="2"/>
      <c r="C614" s="3"/>
    </row>
    <row r="615" ht="12.75" customHeight="1">
      <c r="B615" s="2"/>
      <c r="C615" s="3"/>
    </row>
    <row r="616" ht="12.75" customHeight="1">
      <c r="B616" s="2"/>
      <c r="C616" s="3"/>
    </row>
    <row r="617" ht="12.75" customHeight="1">
      <c r="B617" s="2"/>
      <c r="C617" s="3"/>
    </row>
    <row r="618" ht="12.75" customHeight="1">
      <c r="B618" s="2"/>
      <c r="C618" s="3"/>
    </row>
    <row r="619" ht="12.75" customHeight="1">
      <c r="B619" s="2"/>
      <c r="C619" s="3"/>
    </row>
    <row r="620" ht="12.75" customHeight="1">
      <c r="B620" s="2"/>
      <c r="C620" s="3"/>
    </row>
    <row r="621" ht="12.75" customHeight="1">
      <c r="B621" s="2"/>
      <c r="C621" s="3"/>
    </row>
    <row r="622" ht="12.75" customHeight="1">
      <c r="B622" s="2"/>
      <c r="C622" s="3"/>
    </row>
    <row r="623" ht="12.75" customHeight="1">
      <c r="B623" s="2"/>
      <c r="C623" s="3"/>
    </row>
    <row r="624" ht="12.75" customHeight="1">
      <c r="B624" s="2"/>
      <c r="C624" s="3"/>
    </row>
    <row r="625" ht="12.75" customHeight="1">
      <c r="B625" s="2"/>
      <c r="C625" s="3"/>
    </row>
    <row r="626" ht="12.75" customHeight="1">
      <c r="B626" s="2"/>
      <c r="C626" s="3"/>
    </row>
    <row r="627" ht="12.75" customHeight="1">
      <c r="B627" s="2"/>
      <c r="C627" s="3"/>
    </row>
    <row r="628" ht="12.75" customHeight="1">
      <c r="B628" s="2"/>
      <c r="C628" s="3"/>
    </row>
    <row r="629" ht="12.75" customHeight="1">
      <c r="B629" s="2"/>
      <c r="C629" s="3"/>
    </row>
    <row r="630" ht="12.75" customHeight="1">
      <c r="B630" s="2"/>
      <c r="C630" s="3"/>
    </row>
    <row r="631" ht="12.75" customHeight="1">
      <c r="B631" s="2"/>
      <c r="C631" s="3"/>
    </row>
    <row r="632" ht="12.75" customHeight="1">
      <c r="B632" s="2"/>
      <c r="C632" s="3"/>
    </row>
    <row r="633" ht="12.75" customHeight="1">
      <c r="B633" s="2"/>
      <c r="C633" s="3"/>
    </row>
    <row r="634" ht="12.75" customHeight="1">
      <c r="B634" s="2"/>
      <c r="C634" s="3"/>
    </row>
    <row r="635" ht="12.75" customHeight="1">
      <c r="B635" s="2"/>
      <c r="C635" s="3"/>
    </row>
    <row r="636" ht="12.75" customHeight="1">
      <c r="B636" s="2"/>
      <c r="C636" s="3"/>
    </row>
    <row r="637" ht="12.75" customHeight="1">
      <c r="B637" s="2"/>
      <c r="C637" s="3"/>
    </row>
    <row r="638" ht="12.75" customHeight="1">
      <c r="B638" s="2"/>
      <c r="C638" s="3"/>
    </row>
    <row r="639" ht="12.75" customHeight="1">
      <c r="B639" s="2"/>
      <c r="C639" s="3"/>
    </row>
    <row r="640" ht="12.75" customHeight="1">
      <c r="B640" s="2"/>
      <c r="C640" s="3"/>
    </row>
    <row r="641" ht="12.75" customHeight="1">
      <c r="B641" s="2"/>
      <c r="C641" s="3"/>
    </row>
    <row r="642" ht="12.75" customHeight="1">
      <c r="B642" s="2"/>
      <c r="C642" s="3"/>
    </row>
    <row r="643" ht="12.75" customHeight="1">
      <c r="B643" s="2"/>
      <c r="C643" s="3"/>
    </row>
    <row r="644" ht="12.75" customHeight="1">
      <c r="B644" s="2"/>
      <c r="C644" s="3"/>
    </row>
    <row r="645" ht="12.75" customHeight="1">
      <c r="B645" s="2"/>
      <c r="C645" s="3"/>
    </row>
    <row r="646" ht="12.75" customHeight="1">
      <c r="B646" s="2"/>
      <c r="C646" s="3"/>
    </row>
    <row r="647" ht="12.75" customHeight="1">
      <c r="B647" s="2"/>
      <c r="C647" s="3"/>
    </row>
    <row r="648" ht="12.75" customHeight="1">
      <c r="B648" s="2"/>
      <c r="C648" s="3"/>
    </row>
    <row r="649" ht="12.75" customHeight="1">
      <c r="B649" s="2"/>
      <c r="C649" s="3"/>
    </row>
    <row r="650" ht="12.75" customHeight="1">
      <c r="B650" s="2"/>
      <c r="C650" s="3"/>
    </row>
    <row r="651" ht="12.75" customHeight="1">
      <c r="B651" s="2"/>
      <c r="C651" s="3"/>
    </row>
    <row r="652" ht="12.75" customHeight="1">
      <c r="B652" s="2"/>
      <c r="C652" s="3"/>
    </row>
    <row r="653" ht="12.75" customHeight="1">
      <c r="B653" s="2"/>
      <c r="C653" s="3"/>
    </row>
    <row r="654" ht="12.75" customHeight="1">
      <c r="B654" s="2"/>
      <c r="C654" s="3"/>
    </row>
    <row r="655" ht="12.75" customHeight="1">
      <c r="B655" s="2"/>
      <c r="C655" s="3"/>
    </row>
    <row r="656" ht="12.75" customHeight="1">
      <c r="B656" s="2"/>
      <c r="C656" s="3"/>
    </row>
    <row r="657" ht="12.75" customHeight="1">
      <c r="B657" s="2"/>
      <c r="C657" s="3"/>
    </row>
    <row r="658" ht="12.75" customHeight="1">
      <c r="B658" s="2"/>
      <c r="C658" s="3"/>
    </row>
    <row r="659" ht="12.75" customHeight="1">
      <c r="B659" s="2"/>
      <c r="C659" s="3"/>
    </row>
    <row r="660" ht="12.75" customHeight="1">
      <c r="B660" s="2"/>
      <c r="C660" s="3"/>
    </row>
    <row r="661" ht="12.75" customHeight="1">
      <c r="B661" s="2"/>
      <c r="C661" s="3"/>
    </row>
    <row r="662" ht="12.75" customHeight="1">
      <c r="B662" s="2"/>
      <c r="C662" s="3"/>
    </row>
    <row r="663" ht="12.75" customHeight="1">
      <c r="B663" s="2"/>
      <c r="C663" s="3"/>
    </row>
    <row r="664" ht="12.75" customHeight="1">
      <c r="B664" s="2"/>
      <c r="C664" s="3"/>
    </row>
    <row r="665" ht="12.75" customHeight="1">
      <c r="B665" s="2"/>
      <c r="C665" s="3"/>
    </row>
    <row r="666" ht="12.75" customHeight="1">
      <c r="B666" s="2"/>
      <c r="C666" s="3"/>
    </row>
    <row r="667" ht="12.75" customHeight="1">
      <c r="B667" s="2"/>
      <c r="C667" s="3"/>
    </row>
    <row r="668" ht="12.75" customHeight="1">
      <c r="B668" s="2"/>
      <c r="C668" s="3"/>
    </row>
    <row r="669" ht="12.75" customHeight="1">
      <c r="B669" s="2"/>
      <c r="C669" s="3"/>
    </row>
    <row r="670" ht="12.75" customHeight="1">
      <c r="B670" s="2"/>
      <c r="C670" s="3"/>
    </row>
    <row r="671" ht="12.75" customHeight="1">
      <c r="B671" s="2"/>
      <c r="C671" s="3"/>
    </row>
    <row r="672" ht="12.75" customHeight="1">
      <c r="B672" s="2"/>
      <c r="C672" s="3"/>
    </row>
    <row r="673" ht="12.75" customHeight="1">
      <c r="B673" s="2"/>
      <c r="C673" s="3"/>
    </row>
    <row r="674" ht="12.75" customHeight="1">
      <c r="B674" s="2"/>
      <c r="C674" s="3"/>
    </row>
    <row r="675" ht="12.75" customHeight="1">
      <c r="B675" s="2"/>
      <c r="C675" s="3"/>
    </row>
    <row r="676" ht="12.75" customHeight="1">
      <c r="B676" s="2"/>
      <c r="C676" s="3"/>
    </row>
    <row r="677" ht="12.75" customHeight="1">
      <c r="B677" s="2"/>
      <c r="C677" s="3"/>
    </row>
    <row r="678" ht="12.75" customHeight="1">
      <c r="B678" s="2"/>
      <c r="C678" s="3"/>
    </row>
    <row r="679" ht="12.75" customHeight="1">
      <c r="B679" s="2"/>
      <c r="C679" s="3"/>
    </row>
    <row r="680" ht="12.75" customHeight="1">
      <c r="B680" s="2"/>
      <c r="C680" s="3"/>
    </row>
    <row r="681" ht="12.75" customHeight="1">
      <c r="B681" s="2"/>
      <c r="C681" s="3"/>
    </row>
    <row r="682" ht="12.75" customHeight="1">
      <c r="B682" s="2"/>
      <c r="C682" s="3"/>
    </row>
    <row r="683" ht="12.75" customHeight="1">
      <c r="B683" s="2"/>
      <c r="C683" s="3"/>
    </row>
    <row r="684" ht="12.75" customHeight="1">
      <c r="B684" s="2"/>
      <c r="C684" s="3"/>
    </row>
    <row r="685" ht="12.75" customHeight="1">
      <c r="B685" s="2"/>
      <c r="C685" s="3"/>
    </row>
    <row r="686" ht="12.75" customHeight="1">
      <c r="B686" s="2"/>
      <c r="C686" s="3"/>
    </row>
    <row r="687" ht="12.75" customHeight="1">
      <c r="B687" s="2"/>
      <c r="C687" s="3"/>
    </row>
    <row r="688" ht="12.75" customHeight="1">
      <c r="B688" s="2"/>
      <c r="C688" s="3"/>
    </row>
    <row r="689" ht="12.75" customHeight="1">
      <c r="B689" s="2"/>
      <c r="C689" s="3"/>
    </row>
    <row r="690" ht="12.75" customHeight="1">
      <c r="B690" s="2"/>
      <c r="C690" s="3"/>
    </row>
    <row r="691" ht="12.75" customHeight="1">
      <c r="B691" s="2"/>
      <c r="C691" s="3"/>
    </row>
    <row r="692" ht="12.75" customHeight="1">
      <c r="B692" s="2"/>
      <c r="C692" s="3"/>
    </row>
    <row r="693" ht="12.75" customHeight="1">
      <c r="B693" s="2"/>
      <c r="C693" s="3"/>
    </row>
    <row r="694" ht="12.75" customHeight="1">
      <c r="B694" s="2"/>
      <c r="C694" s="3"/>
    </row>
    <row r="695" ht="12.75" customHeight="1">
      <c r="B695" s="2"/>
      <c r="C695" s="3"/>
    </row>
    <row r="696" ht="12.75" customHeight="1">
      <c r="B696" s="2"/>
      <c r="C696" s="3"/>
    </row>
    <row r="697" ht="12.75" customHeight="1">
      <c r="B697" s="2"/>
      <c r="C697" s="3"/>
    </row>
    <row r="698" ht="12.75" customHeight="1">
      <c r="B698" s="2"/>
      <c r="C698" s="3"/>
    </row>
    <row r="699" ht="12.75" customHeight="1">
      <c r="B699" s="2"/>
      <c r="C699" s="3"/>
    </row>
    <row r="700" ht="12.75" customHeight="1">
      <c r="B700" s="2"/>
      <c r="C700" s="3"/>
    </row>
    <row r="701" ht="12.75" customHeight="1">
      <c r="B701" s="2"/>
      <c r="C701" s="3"/>
    </row>
    <row r="702" ht="12.75" customHeight="1">
      <c r="B702" s="2"/>
      <c r="C702" s="3"/>
    </row>
    <row r="703" ht="12.75" customHeight="1">
      <c r="B703" s="2"/>
      <c r="C703" s="3"/>
    </row>
    <row r="704" ht="12.75" customHeight="1">
      <c r="B704" s="2"/>
      <c r="C704" s="3"/>
    </row>
    <row r="705" ht="12.75" customHeight="1">
      <c r="B705" s="2"/>
      <c r="C705" s="3"/>
    </row>
    <row r="706" ht="12.75" customHeight="1">
      <c r="B706" s="2"/>
      <c r="C706" s="3"/>
    </row>
    <row r="707" ht="12.75" customHeight="1">
      <c r="B707" s="2"/>
      <c r="C707" s="3"/>
    </row>
    <row r="708" ht="12.75" customHeight="1">
      <c r="B708" s="2"/>
      <c r="C708" s="3"/>
    </row>
    <row r="709" ht="12.75" customHeight="1">
      <c r="B709" s="2"/>
      <c r="C709" s="3"/>
    </row>
    <row r="710" ht="12.75" customHeight="1">
      <c r="B710" s="2"/>
      <c r="C710" s="3"/>
    </row>
    <row r="711" ht="12.75" customHeight="1">
      <c r="B711" s="2"/>
      <c r="C711" s="3"/>
    </row>
    <row r="712" ht="12.75" customHeight="1">
      <c r="B712" s="2"/>
      <c r="C712" s="3"/>
    </row>
    <row r="713" ht="12.75" customHeight="1">
      <c r="B713" s="2"/>
      <c r="C713" s="3"/>
    </row>
    <row r="714" ht="12.75" customHeight="1">
      <c r="B714" s="2"/>
      <c r="C714" s="3"/>
    </row>
    <row r="715" ht="12.75" customHeight="1">
      <c r="B715" s="2"/>
      <c r="C715" s="3"/>
    </row>
    <row r="716" ht="12.75" customHeight="1">
      <c r="B716" s="2"/>
      <c r="C716" s="3"/>
    </row>
    <row r="717" ht="12.75" customHeight="1">
      <c r="B717" s="2"/>
      <c r="C717" s="3"/>
    </row>
    <row r="718" ht="12.75" customHeight="1">
      <c r="B718" s="2"/>
      <c r="C718" s="3"/>
    </row>
    <row r="719" ht="12.75" customHeight="1">
      <c r="B719" s="2"/>
      <c r="C719" s="3"/>
    </row>
    <row r="720" ht="12.75" customHeight="1">
      <c r="B720" s="2"/>
      <c r="C720" s="3"/>
    </row>
    <row r="721" ht="12.75" customHeight="1">
      <c r="B721" s="2"/>
      <c r="C721" s="3"/>
    </row>
    <row r="722" ht="12.75" customHeight="1">
      <c r="B722" s="2"/>
      <c r="C722" s="3"/>
    </row>
    <row r="723" ht="12.75" customHeight="1">
      <c r="B723" s="2"/>
      <c r="C723" s="3"/>
    </row>
    <row r="724" ht="12.75" customHeight="1">
      <c r="B724" s="2"/>
      <c r="C724" s="3"/>
    </row>
    <row r="725" ht="12.75" customHeight="1">
      <c r="B725" s="2"/>
      <c r="C725" s="3"/>
    </row>
    <row r="726" ht="12.75" customHeight="1">
      <c r="B726" s="2"/>
      <c r="C726" s="3"/>
    </row>
    <row r="727" ht="12.75" customHeight="1">
      <c r="B727" s="2"/>
      <c r="C727" s="3"/>
    </row>
    <row r="728" ht="12.75" customHeight="1">
      <c r="B728" s="2"/>
      <c r="C728" s="3"/>
    </row>
    <row r="729" ht="12.75" customHeight="1">
      <c r="B729" s="2"/>
      <c r="C729" s="3"/>
    </row>
    <row r="730" ht="12.75" customHeight="1">
      <c r="B730" s="2"/>
      <c r="C730" s="3"/>
    </row>
    <row r="731" ht="12.75" customHeight="1">
      <c r="B731" s="2"/>
      <c r="C731" s="3"/>
    </row>
    <row r="732" ht="12.75" customHeight="1">
      <c r="B732" s="2"/>
      <c r="C732" s="3"/>
    </row>
    <row r="733" ht="12.75" customHeight="1">
      <c r="B733" s="2"/>
      <c r="C733" s="3"/>
    </row>
    <row r="734" ht="12.75" customHeight="1">
      <c r="B734" s="2"/>
      <c r="C734" s="3"/>
    </row>
    <row r="735" ht="12.75" customHeight="1">
      <c r="B735" s="2"/>
      <c r="C735" s="3"/>
    </row>
    <row r="736" ht="12.75" customHeight="1">
      <c r="B736" s="2"/>
      <c r="C736" s="3"/>
    </row>
    <row r="737" ht="12.75" customHeight="1">
      <c r="B737" s="2"/>
      <c r="C737" s="3"/>
    </row>
    <row r="738" ht="12.75" customHeight="1">
      <c r="B738" s="2"/>
      <c r="C738" s="3"/>
    </row>
    <row r="739" ht="12.75" customHeight="1">
      <c r="B739" s="2"/>
      <c r="C739" s="3"/>
    </row>
    <row r="740" ht="12.75" customHeight="1">
      <c r="B740" s="2"/>
      <c r="C740" s="3"/>
    </row>
    <row r="741" ht="12.75" customHeight="1">
      <c r="B741" s="2"/>
      <c r="C741" s="3"/>
    </row>
    <row r="742" ht="12.75" customHeight="1">
      <c r="B742" s="2"/>
      <c r="C742" s="3"/>
    </row>
    <row r="743" ht="12.75" customHeight="1">
      <c r="B743" s="2"/>
      <c r="C743" s="3"/>
    </row>
    <row r="744" ht="12.75" customHeight="1">
      <c r="B744" s="2"/>
      <c r="C744" s="3"/>
    </row>
    <row r="745" ht="12.75" customHeight="1">
      <c r="B745" s="2"/>
      <c r="C745" s="3"/>
    </row>
    <row r="746" ht="12.75" customHeight="1">
      <c r="B746" s="2"/>
      <c r="C746" s="3"/>
    </row>
    <row r="747" ht="12.75" customHeight="1">
      <c r="B747" s="2"/>
      <c r="C747" s="3"/>
    </row>
    <row r="748" ht="12.75" customHeight="1">
      <c r="B748" s="2"/>
      <c r="C748" s="3"/>
    </row>
    <row r="749" ht="12.75" customHeight="1">
      <c r="B749" s="2"/>
      <c r="C749" s="3"/>
    </row>
    <row r="750" ht="12.75" customHeight="1">
      <c r="B750" s="2"/>
      <c r="C750" s="3"/>
    </row>
    <row r="751" ht="12.75" customHeight="1">
      <c r="B751" s="2"/>
      <c r="C751" s="3"/>
    </row>
    <row r="752" ht="12.75" customHeight="1">
      <c r="B752" s="2"/>
      <c r="C752" s="3"/>
    </row>
    <row r="753" ht="12.75" customHeight="1">
      <c r="B753" s="2"/>
      <c r="C753" s="3"/>
    </row>
    <row r="754" ht="12.75" customHeight="1">
      <c r="B754" s="2"/>
      <c r="C754" s="3"/>
    </row>
    <row r="755" ht="12.75" customHeight="1">
      <c r="B755" s="2"/>
      <c r="C755" s="3"/>
    </row>
    <row r="756" ht="12.75" customHeight="1">
      <c r="B756" s="2"/>
      <c r="C756" s="3"/>
    </row>
    <row r="757" ht="12.75" customHeight="1">
      <c r="B757" s="2"/>
      <c r="C757" s="3"/>
    </row>
    <row r="758" ht="12.75" customHeight="1">
      <c r="B758" s="2"/>
      <c r="C758" s="3"/>
    </row>
    <row r="759" ht="12.75" customHeight="1">
      <c r="B759" s="2"/>
      <c r="C759" s="3"/>
    </row>
    <row r="760" ht="12.75" customHeight="1">
      <c r="B760" s="2"/>
      <c r="C760" s="3"/>
    </row>
    <row r="761" ht="12.75" customHeight="1">
      <c r="B761" s="2"/>
      <c r="C761" s="3"/>
    </row>
    <row r="762" ht="12.75" customHeight="1">
      <c r="B762" s="2"/>
      <c r="C762" s="3"/>
    </row>
    <row r="763" ht="12.75" customHeight="1">
      <c r="B763" s="2"/>
      <c r="C763" s="3"/>
    </row>
    <row r="764" ht="12.75" customHeight="1">
      <c r="B764" s="2"/>
      <c r="C764" s="3"/>
    </row>
    <row r="765" ht="12.75" customHeight="1">
      <c r="B765" s="2"/>
      <c r="C765" s="3"/>
    </row>
    <row r="766" ht="12.75" customHeight="1">
      <c r="B766" s="2"/>
      <c r="C766" s="3"/>
    </row>
    <row r="767" ht="12.75" customHeight="1">
      <c r="B767" s="2"/>
      <c r="C767" s="3"/>
    </row>
    <row r="768" ht="12.75" customHeight="1">
      <c r="B768" s="2"/>
      <c r="C768" s="3"/>
    </row>
    <row r="769" ht="12.75" customHeight="1">
      <c r="B769" s="2"/>
      <c r="C769" s="3"/>
    </row>
    <row r="770" ht="12.75" customHeight="1">
      <c r="B770" s="2"/>
      <c r="C770" s="3"/>
    </row>
    <row r="771" ht="12.75" customHeight="1">
      <c r="B771" s="2"/>
      <c r="C771" s="3"/>
    </row>
    <row r="772" ht="12.75" customHeight="1">
      <c r="B772" s="2"/>
      <c r="C772" s="3"/>
    </row>
    <row r="773" ht="12.75" customHeight="1">
      <c r="B773" s="2"/>
      <c r="C773" s="3"/>
    </row>
    <row r="774" ht="12.75" customHeight="1">
      <c r="B774" s="2"/>
      <c r="C774" s="3"/>
    </row>
    <row r="775" ht="12.75" customHeight="1">
      <c r="B775" s="2"/>
      <c r="C775" s="3"/>
    </row>
    <row r="776" ht="12.75" customHeight="1">
      <c r="B776" s="2"/>
      <c r="C776" s="3"/>
    </row>
    <row r="777" ht="12.75" customHeight="1">
      <c r="B777" s="2"/>
      <c r="C777" s="3"/>
    </row>
    <row r="778" ht="12.75" customHeight="1">
      <c r="B778" s="2"/>
      <c r="C778" s="3"/>
    </row>
    <row r="779" ht="12.75" customHeight="1">
      <c r="B779" s="2"/>
      <c r="C779" s="3"/>
    </row>
    <row r="780" ht="12.75" customHeight="1">
      <c r="B780" s="2"/>
      <c r="C780" s="3"/>
    </row>
    <row r="781" ht="12.75" customHeight="1">
      <c r="B781" s="2"/>
      <c r="C781" s="3"/>
    </row>
    <row r="782" ht="12.75" customHeight="1">
      <c r="B782" s="2"/>
      <c r="C782" s="3"/>
    </row>
    <row r="783" ht="12.75" customHeight="1">
      <c r="B783" s="2"/>
      <c r="C783" s="3"/>
    </row>
    <row r="784" ht="12.75" customHeight="1">
      <c r="B784" s="2"/>
      <c r="C784" s="3"/>
    </row>
    <row r="785" ht="12.75" customHeight="1">
      <c r="B785" s="2"/>
      <c r="C785" s="3"/>
    </row>
    <row r="786" ht="12.75" customHeight="1">
      <c r="B786" s="2"/>
      <c r="C786" s="3"/>
    </row>
    <row r="787" ht="12.75" customHeight="1">
      <c r="B787" s="2"/>
      <c r="C787" s="3"/>
    </row>
    <row r="788" ht="12.75" customHeight="1">
      <c r="B788" s="2"/>
      <c r="C788" s="3"/>
    </row>
    <row r="789" ht="12.75" customHeight="1">
      <c r="B789" s="2"/>
      <c r="C789" s="3"/>
    </row>
    <row r="790" ht="12.75" customHeight="1">
      <c r="B790" s="2"/>
      <c r="C790" s="3"/>
    </row>
    <row r="791" ht="12.75" customHeight="1">
      <c r="B791" s="2"/>
      <c r="C791" s="3"/>
    </row>
    <row r="792" ht="12.75" customHeight="1">
      <c r="B792" s="2"/>
      <c r="C792" s="3"/>
    </row>
    <row r="793" ht="12.75" customHeight="1">
      <c r="B793" s="2"/>
      <c r="C793" s="3"/>
    </row>
    <row r="794" ht="12.75" customHeight="1">
      <c r="B794" s="2"/>
      <c r="C794" s="3"/>
    </row>
    <row r="795" ht="12.75" customHeight="1">
      <c r="B795" s="2"/>
      <c r="C795" s="3"/>
    </row>
    <row r="796" ht="12.75" customHeight="1">
      <c r="B796" s="2"/>
      <c r="C796" s="3"/>
    </row>
    <row r="797" ht="12.75" customHeight="1">
      <c r="B797" s="2"/>
      <c r="C797" s="3"/>
    </row>
    <row r="798" ht="12.75" customHeight="1">
      <c r="B798" s="2"/>
      <c r="C798" s="3"/>
    </row>
    <row r="799" ht="12.75" customHeight="1">
      <c r="B799" s="2"/>
      <c r="C799" s="3"/>
    </row>
    <row r="800" ht="12.75" customHeight="1">
      <c r="B800" s="2"/>
      <c r="C800" s="3"/>
    </row>
    <row r="801" ht="12.75" customHeight="1">
      <c r="B801" s="2"/>
      <c r="C801" s="3"/>
    </row>
    <row r="802" ht="12.75" customHeight="1">
      <c r="B802" s="2"/>
      <c r="C802" s="3"/>
    </row>
    <row r="803" ht="12.75" customHeight="1">
      <c r="B803" s="2"/>
      <c r="C803" s="3"/>
    </row>
    <row r="804" ht="12.75" customHeight="1">
      <c r="B804" s="2"/>
      <c r="C804" s="3"/>
    </row>
    <row r="805" ht="12.75" customHeight="1">
      <c r="B805" s="2"/>
      <c r="C805" s="3"/>
    </row>
    <row r="806" ht="12.75" customHeight="1">
      <c r="B806" s="2"/>
      <c r="C806" s="3"/>
    </row>
    <row r="807" ht="12.75" customHeight="1">
      <c r="B807" s="2"/>
      <c r="C807" s="3"/>
    </row>
    <row r="808" ht="12.75" customHeight="1">
      <c r="B808" s="2"/>
      <c r="C808" s="3"/>
    </row>
    <row r="809" ht="12.75" customHeight="1">
      <c r="B809" s="2"/>
      <c r="C809" s="3"/>
    </row>
    <row r="810" ht="12.75" customHeight="1">
      <c r="B810" s="2"/>
      <c r="C810" s="3"/>
    </row>
    <row r="811" ht="12.75" customHeight="1">
      <c r="B811" s="2"/>
      <c r="C811" s="3"/>
    </row>
    <row r="812" ht="12.75" customHeight="1">
      <c r="B812" s="2"/>
      <c r="C812" s="3"/>
    </row>
    <row r="813" ht="12.75" customHeight="1">
      <c r="B813" s="2"/>
      <c r="C813" s="3"/>
    </row>
    <row r="814" ht="12.75" customHeight="1">
      <c r="B814" s="2"/>
      <c r="C814" s="3"/>
    </row>
    <row r="815" ht="12.75" customHeight="1">
      <c r="B815" s="2"/>
      <c r="C815" s="3"/>
    </row>
    <row r="816" ht="12.75" customHeight="1">
      <c r="B816" s="2"/>
      <c r="C816" s="3"/>
    </row>
    <row r="817" ht="12.75" customHeight="1">
      <c r="B817" s="2"/>
      <c r="C817" s="3"/>
    </row>
    <row r="818" ht="12.75" customHeight="1">
      <c r="B818" s="2"/>
      <c r="C818" s="3"/>
    </row>
    <row r="819" ht="12.75" customHeight="1">
      <c r="B819" s="2"/>
      <c r="C819" s="3"/>
    </row>
    <row r="820" ht="12.75" customHeight="1">
      <c r="B820" s="2"/>
      <c r="C820" s="3"/>
    </row>
    <row r="821" ht="12.75" customHeight="1">
      <c r="B821" s="2"/>
      <c r="C821" s="3"/>
    </row>
    <row r="822" ht="12.75" customHeight="1">
      <c r="B822" s="2"/>
      <c r="C822" s="3"/>
    </row>
    <row r="823" ht="12.75" customHeight="1">
      <c r="B823" s="2"/>
      <c r="C823" s="3"/>
    </row>
    <row r="824" ht="12.75" customHeight="1">
      <c r="B824" s="2"/>
      <c r="C824" s="3"/>
    </row>
    <row r="825" ht="12.75" customHeight="1">
      <c r="B825" s="2"/>
      <c r="C825" s="3"/>
    </row>
    <row r="826" ht="12.75" customHeight="1">
      <c r="B826" s="2"/>
      <c r="C826" s="3"/>
    </row>
    <row r="827" ht="12.75" customHeight="1">
      <c r="B827" s="2"/>
      <c r="C827" s="3"/>
    </row>
    <row r="828" ht="12.75" customHeight="1">
      <c r="B828" s="2"/>
      <c r="C828" s="3"/>
    </row>
    <row r="829" ht="12.75" customHeight="1">
      <c r="B829" s="2"/>
      <c r="C829" s="3"/>
    </row>
    <row r="830" ht="12.75" customHeight="1">
      <c r="B830" s="2"/>
      <c r="C830" s="3"/>
    </row>
    <row r="831" ht="12.75" customHeight="1">
      <c r="B831" s="2"/>
      <c r="C831" s="3"/>
    </row>
    <row r="832" ht="12.75" customHeight="1">
      <c r="B832" s="2"/>
      <c r="C832" s="3"/>
    </row>
    <row r="833" ht="12.75" customHeight="1">
      <c r="B833" s="2"/>
      <c r="C833" s="3"/>
    </row>
    <row r="834" ht="12.75" customHeight="1">
      <c r="B834" s="2"/>
      <c r="C834" s="3"/>
    </row>
    <row r="835" ht="12.75" customHeight="1">
      <c r="B835" s="2"/>
      <c r="C835" s="3"/>
    </row>
    <row r="836" ht="12.75" customHeight="1">
      <c r="B836" s="2"/>
      <c r="C836" s="3"/>
    </row>
    <row r="837" ht="12.75" customHeight="1">
      <c r="B837" s="2"/>
      <c r="C837" s="3"/>
    </row>
    <row r="838" ht="12.75" customHeight="1">
      <c r="B838" s="2"/>
      <c r="C838" s="3"/>
    </row>
    <row r="839" ht="12.75" customHeight="1">
      <c r="B839" s="2"/>
      <c r="C839" s="3"/>
    </row>
    <row r="840" ht="12.75" customHeight="1">
      <c r="B840" s="2"/>
      <c r="C840" s="3"/>
    </row>
    <row r="841" ht="12.75" customHeight="1">
      <c r="B841" s="2"/>
      <c r="C841" s="3"/>
    </row>
    <row r="842" ht="12.75" customHeight="1">
      <c r="B842" s="2"/>
      <c r="C842" s="3"/>
    </row>
    <row r="843" ht="12.75" customHeight="1">
      <c r="B843" s="2"/>
      <c r="C843" s="3"/>
    </row>
    <row r="844" ht="12.75" customHeight="1">
      <c r="B844" s="2"/>
      <c r="C844" s="3"/>
    </row>
    <row r="845" ht="12.75" customHeight="1">
      <c r="B845" s="2"/>
      <c r="C845" s="3"/>
    </row>
    <row r="846" ht="12.75" customHeight="1">
      <c r="B846" s="2"/>
      <c r="C846" s="3"/>
    </row>
    <row r="847" ht="12.75" customHeight="1">
      <c r="B847" s="2"/>
      <c r="C847" s="3"/>
    </row>
    <row r="848" ht="12.75" customHeight="1">
      <c r="B848" s="2"/>
      <c r="C848" s="3"/>
    </row>
    <row r="849" ht="12.75" customHeight="1">
      <c r="B849" s="2"/>
      <c r="C849" s="3"/>
    </row>
    <row r="850" ht="12.75" customHeight="1">
      <c r="B850" s="2"/>
      <c r="C850" s="3"/>
    </row>
    <row r="851" ht="12.75" customHeight="1">
      <c r="B851" s="2"/>
      <c r="C851" s="3"/>
    </row>
    <row r="852" ht="12.75" customHeight="1">
      <c r="B852" s="2"/>
      <c r="C852" s="3"/>
    </row>
    <row r="853" ht="12.75" customHeight="1">
      <c r="B853" s="2"/>
      <c r="C853" s="3"/>
    </row>
    <row r="854" ht="12.75" customHeight="1">
      <c r="B854" s="2"/>
      <c r="C854" s="3"/>
    </row>
    <row r="855" ht="12.75" customHeight="1">
      <c r="B855" s="2"/>
      <c r="C855" s="3"/>
    </row>
    <row r="856" ht="12.75" customHeight="1">
      <c r="B856" s="2"/>
      <c r="C856" s="3"/>
    </row>
    <row r="857" ht="12.75" customHeight="1">
      <c r="B857" s="2"/>
      <c r="C857" s="3"/>
    </row>
    <row r="858" ht="12.75" customHeight="1">
      <c r="B858" s="2"/>
      <c r="C858" s="3"/>
    </row>
    <row r="859" ht="12.75" customHeight="1">
      <c r="B859" s="2"/>
      <c r="C859" s="3"/>
    </row>
    <row r="860" ht="12.75" customHeight="1">
      <c r="B860" s="2"/>
      <c r="C860" s="3"/>
    </row>
    <row r="861" ht="12.75" customHeight="1">
      <c r="B861" s="2"/>
      <c r="C861" s="3"/>
    </row>
    <row r="862" ht="12.75" customHeight="1">
      <c r="B862" s="2"/>
      <c r="C862" s="3"/>
    </row>
    <row r="863" ht="12.75" customHeight="1">
      <c r="B863" s="2"/>
      <c r="C863" s="3"/>
    </row>
    <row r="864" ht="12.75" customHeight="1">
      <c r="B864" s="2"/>
      <c r="C864" s="3"/>
    </row>
    <row r="865" ht="12.75" customHeight="1">
      <c r="B865" s="2"/>
      <c r="C865" s="3"/>
    </row>
    <row r="866" ht="12.75" customHeight="1">
      <c r="B866" s="2"/>
      <c r="C866" s="3"/>
    </row>
    <row r="867" ht="12.75" customHeight="1">
      <c r="B867" s="2"/>
      <c r="C867" s="3"/>
    </row>
    <row r="868" ht="12.75" customHeight="1">
      <c r="B868" s="2"/>
      <c r="C868" s="3"/>
    </row>
    <row r="869" ht="12.75" customHeight="1">
      <c r="B869" s="2"/>
      <c r="C869" s="3"/>
    </row>
    <row r="870" ht="12.75" customHeight="1">
      <c r="B870" s="2"/>
      <c r="C870" s="3"/>
    </row>
    <row r="871" ht="12.75" customHeight="1">
      <c r="B871" s="2"/>
      <c r="C871" s="3"/>
    </row>
    <row r="872" ht="12.75" customHeight="1">
      <c r="B872" s="2"/>
      <c r="C872" s="3"/>
    </row>
    <row r="873" ht="12.75" customHeight="1">
      <c r="B873" s="2"/>
      <c r="C873" s="3"/>
    </row>
    <row r="874" ht="12.75" customHeight="1">
      <c r="B874" s="2"/>
      <c r="C874" s="3"/>
    </row>
    <row r="875" ht="12.75" customHeight="1">
      <c r="B875" s="2"/>
      <c r="C875" s="3"/>
    </row>
    <row r="876" ht="12.75" customHeight="1">
      <c r="B876" s="2"/>
      <c r="C876" s="3"/>
    </row>
    <row r="877" ht="12.75" customHeight="1">
      <c r="B877" s="2"/>
      <c r="C877" s="3"/>
    </row>
    <row r="878" ht="12.75" customHeight="1">
      <c r="B878" s="2"/>
      <c r="C878" s="3"/>
    </row>
    <row r="879" ht="12.75" customHeight="1">
      <c r="B879" s="2"/>
      <c r="C879" s="3"/>
    </row>
    <row r="880" ht="12.75" customHeight="1">
      <c r="B880" s="2"/>
      <c r="C880" s="3"/>
    </row>
    <row r="881" ht="12.75" customHeight="1">
      <c r="B881" s="2"/>
      <c r="C881" s="3"/>
    </row>
    <row r="882" ht="12.75" customHeight="1">
      <c r="B882" s="2"/>
      <c r="C882" s="3"/>
    </row>
    <row r="883" ht="12.75" customHeight="1">
      <c r="B883" s="2"/>
      <c r="C883" s="3"/>
    </row>
    <row r="884" ht="12.75" customHeight="1">
      <c r="B884" s="2"/>
      <c r="C884" s="3"/>
    </row>
    <row r="885" ht="12.75" customHeight="1">
      <c r="B885" s="2"/>
      <c r="C885" s="3"/>
    </row>
    <row r="886" ht="12.75" customHeight="1">
      <c r="B886" s="2"/>
      <c r="C886" s="3"/>
    </row>
    <row r="887" ht="12.75" customHeight="1">
      <c r="B887" s="2"/>
      <c r="C887" s="3"/>
    </row>
    <row r="888" ht="12.75" customHeight="1">
      <c r="B888" s="2"/>
      <c r="C888" s="3"/>
    </row>
    <row r="889" ht="12.75" customHeight="1">
      <c r="B889" s="2"/>
      <c r="C889" s="3"/>
    </row>
    <row r="890" ht="12.75" customHeight="1">
      <c r="B890" s="2"/>
      <c r="C890" s="3"/>
    </row>
    <row r="891" ht="12.75" customHeight="1">
      <c r="B891" s="2"/>
      <c r="C891" s="3"/>
    </row>
    <row r="892" ht="12.75" customHeight="1">
      <c r="B892" s="2"/>
      <c r="C892" s="3"/>
    </row>
    <row r="893" ht="12.75" customHeight="1">
      <c r="B893" s="2"/>
      <c r="C893" s="3"/>
    </row>
    <row r="894" ht="12.75" customHeight="1">
      <c r="B894" s="2"/>
      <c r="C894" s="3"/>
    </row>
    <row r="895" ht="12.75" customHeight="1">
      <c r="B895" s="2"/>
      <c r="C895" s="3"/>
    </row>
    <row r="896" ht="12.75" customHeight="1">
      <c r="B896" s="2"/>
      <c r="C896" s="3"/>
    </row>
    <row r="897" ht="12.75" customHeight="1">
      <c r="B897" s="2"/>
      <c r="C897" s="3"/>
    </row>
    <row r="898" ht="12.75" customHeight="1">
      <c r="B898" s="2"/>
      <c r="C898" s="3"/>
    </row>
    <row r="899" ht="12.75" customHeight="1">
      <c r="B899" s="2"/>
      <c r="C899" s="3"/>
    </row>
    <row r="900" ht="12.75" customHeight="1">
      <c r="B900" s="2"/>
      <c r="C900" s="3"/>
    </row>
    <row r="901" ht="12.75" customHeight="1">
      <c r="B901" s="2"/>
      <c r="C901" s="3"/>
    </row>
    <row r="902" ht="12.75" customHeight="1">
      <c r="B902" s="2"/>
      <c r="C902" s="3"/>
    </row>
    <row r="903" ht="12.75" customHeight="1">
      <c r="B903" s="2"/>
      <c r="C903" s="3"/>
    </row>
    <row r="904" ht="12.75" customHeight="1">
      <c r="B904" s="2"/>
      <c r="C904" s="3"/>
    </row>
    <row r="905" ht="12.75" customHeight="1">
      <c r="B905" s="2"/>
      <c r="C905" s="3"/>
    </row>
    <row r="906" ht="12.75" customHeight="1">
      <c r="B906" s="2"/>
      <c r="C906" s="3"/>
    </row>
    <row r="907" ht="12.75" customHeight="1">
      <c r="B907" s="2"/>
      <c r="C907" s="3"/>
    </row>
    <row r="908" ht="12.75" customHeight="1">
      <c r="B908" s="2"/>
      <c r="C908" s="3"/>
    </row>
    <row r="909" ht="12.75" customHeight="1">
      <c r="B909" s="2"/>
      <c r="C909" s="3"/>
    </row>
    <row r="910" ht="12.75" customHeight="1">
      <c r="B910" s="2"/>
      <c r="C910" s="3"/>
    </row>
    <row r="911" ht="12.75" customHeight="1">
      <c r="B911" s="2"/>
      <c r="C911" s="3"/>
    </row>
    <row r="912" ht="12.75" customHeight="1">
      <c r="B912" s="2"/>
      <c r="C912" s="3"/>
    </row>
    <row r="913" ht="12.75" customHeight="1">
      <c r="B913" s="2"/>
      <c r="C913" s="3"/>
    </row>
    <row r="914" ht="12.75" customHeight="1">
      <c r="B914" s="2"/>
      <c r="C914" s="3"/>
    </row>
    <row r="915" ht="12.75" customHeight="1">
      <c r="B915" s="2"/>
      <c r="C915" s="3"/>
    </row>
    <row r="916" ht="12.75" customHeight="1">
      <c r="B916" s="2"/>
      <c r="C916" s="3"/>
    </row>
    <row r="917" ht="12.75" customHeight="1">
      <c r="B917" s="2"/>
      <c r="C917" s="3"/>
    </row>
    <row r="918" ht="12.75" customHeight="1">
      <c r="B918" s="2"/>
      <c r="C918" s="3"/>
    </row>
    <row r="919" ht="12.75" customHeight="1">
      <c r="B919" s="2"/>
      <c r="C919" s="3"/>
    </row>
    <row r="920" ht="12.75" customHeight="1">
      <c r="B920" s="2"/>
      <c r="C920" s="3"/>
    </row>
    <row r="921" ht="12.75" customHeight="1">
      <c r="B921" s="2"/>
      <c r="C921" s="3"/>
    </row>
    <row r="922" ht="12.75" customHeight="1">
      <c r="B922" s="2"/>
      <c r="C922" s="3"/>
    </row>
    <row r="923" ht="12.75" customHeight="1">
      <c r="B923" s="2"/>
      <c r="C923" s="3"/>
    </row>
    <row r="924" ht="12.75" customHeight="1">
      <c r="B924" s="2"/>
      <c r="C924" s="3"/>
    </row>
    <row r="925" ht="12.75" customHeight="1">
      <c r="B925" s="2"/>
      <c r="C925" s="3"/>
    </row>
    <row r="926" ht="12.75" customHeight="1">
      <c r="B926" s="2"/>
      <c r="C926" s="3"/>
    </row>
    <row r="927" ht="12.75" customHeight="1">
      <c r="B927" s="2"/>
      <c r="C927" s="3"/>
    </row>
    <row r="928" ht="12.75" customHeight="1">
      <c r="B928" s="2"/>
      <c r="C928" s="3"/>
    </row>
    <row r="929" ht="12.75" customHeight="1">
      <c r="B929" s="2"/>
      <c r="C929" s="3"/>
    </row>
    <row r="930" ht="12.75" customHeight="1">
      <c r="B930" s="2"/>
      <c r="C930" s="3"/>
    </row>
    <row r="931" ht="12.75" customHeight="1">
      <c r="B931" s="2"/>
      <c r="C931" s="3"/>
    </row>
    <row r="932" ht="12.75" customHeight="1">
      <c r="B932" s="2"/>
      <c r="C932" s="3"/>
    </row>
    <row r="933" ht="12.75" customHeight="1">
      <c r="B933" s="2"/>
      <c r="C933" s="3"/>
    </row>
    <row r="934" ht="12.75" customHeight="1">
      <c r="B934" s="2"/>
      <c r="C934" s="3"/>
    </row>
    <row r="935" ht="12.75" customHeight="1">
      <c r="B935" s="2"/>
      <c r="C935" s="3"/>
    </row>
    <row r="936" ht="12.75" customHeight="1">
      <c r="B936" s="2"/>
      <c r="C936" s="3"/>
    </row>
    <row r="937" ht="12.75" customHeight="1">
      <c r="B937" s="2"/>
      <c r="C937" s="3"/>
    </row>
    <row r="938" ht="12.75" customHeight="1">
      <c r="B938" s="2"/>
      <c r="C938" s="3"/>
    </row>
    <row r="939" ht="12.75" customHeight="1">
      <c r="B939" s="2"/>
      <c r="C939" s="3"/>
    </row>
    <row r="940" ht="12.75" customHeight="1">
      <c r="B940" s="2"/>
      <c r="C940" s="3"/>
    </row>
    <row r="941" ht="12.75" customHeight="1">
      <c r="B941" s="2"/>
      <c r="C941" s="3"/>
    </row>
    <row r="942" ht="12.75" customHeight="1">
      <c r="B942" s="2"/>
      <c r="C942" s="3"/>
    </row>
    <row r="943" ht="12.75" customHeight="1">
      <c r="B943" s="2"/>
      <c r="C943" s="3"/>
    </row>
    <row r="944" ht="12.75" customHeight="1">
      <c r="B944" s="2"/>
      <c r="C944" s="3"/>
    </row>
    <row r="945" ht="12.75" customHeight="1">
      <c r="B945" s="2"/>
      <c r="C945" s="3"/>
    </row>
    <row r="946" ht="12.75" customHeight="1">
      <c r="B946" s="2"/>
      <c r="C946" s="3"/>
    </row>
    <row r="947" ht="12.75" customHeight="1">
      <c r="B947" s="2"/>
      <c r="C947" s="3"/>
    </row>
    <row r="948" ht="12.75" customHeight="1">
      <c r="B948" s="2"/>
      <c r="C948" s="3"/>
    </row>
    <row r="949" ht="12.75" customHeight="1">
      <c r="B949" s="2"/>
      <c r="C949" s="3"/>
    </row>
    <row r="950" ht="12.75" customHeight="1">
      <c r="B950" s="2"/>
      <c r="C950" s="3"/>
    </row>
    <row r="951" ht="12.75" customHeight="1">
      <c r="B951" s="2"/>
      <c r="C951" s="3"/>
    </row>
    <row r="952" ht="12.75" customHeight="1">
      <c r="B952" s="2"/>
      <c r="C952" s="3"/>
    </row>
    <row r="953" ht="12.75" customHeight="1">
      <c r="B953" s="2"/>
      <c r="C953" s="3"/>
    </row>
    <row r="954" ht="12.75" customHeight="1">
      <c r="B954" s="2"/>
      <c r="C954" s="3"/>
    </row>
    <row r="955" ht="12.75" customHeight="1">
      <c r="B955" s="2"/>
      <c r="C955" s="3"/>
    </row>
    <row r="956" ht="12.75" customHeight="1">
      <c r="B956" s="2"/>
      <c r="C956" s="3"/>
    </row>
    <row r="957" ht="12.75" customHeight="1">
      <c r="B957" s="2"/>
      <c r="C957" s="3"/>
    </row>
    <row r="958" ht="12.75" customHeight="1">
      <c r="B958" s="2"/>
      <c r="C958" s="3"/>
    </row>
    <row r="959" ht="12.75" customHeight="1">
      <c r="B959" s="2"/>
      <c r="C959" s="3"/>
    </row>
    <row r="960" ht="12.75" customHeight="1">
      <c r="B960" s="2"/>
      <c r="C960" s="3"/>
    </row>
    <row r="961" ht="12.75" customHeight="1">
      <c r="B961" s="2"/>
      <c r="C961" s="3"/>
    </row>
    <row r="962" ht="12.75" customHeight="1">
      <c r="B962" s="2"/>
      <c r="C962" s="3"/>
    </row>
    <row r="963" ht="12.75" customHeight="1">
      <c r="B963" s="2"/>
      <c r="C963" s="3"/>
    </row>
    <row r="964" ht="12.75" customHeight="1">
      <c r="B964" s="2"/>
      <c r="C964" s="3"/>
    </row>
    <row r="965" ht="12.75" customHeight="1">
      <c r="B965" s="2"/>
      <c r="C965" s="3"/>
    </row>
    <row r="966" ht="12.75" customHeight="1">
      <c r="B966" s="2"/>
      <c r="C966" s="3"/>
    </row>
    <row r="967" ht="12.75" customHeight="1">
      <c r="B967" s="2"/>
      <c r="C967" s="3"/>
    </row>
    <row r="968" ht="12.75" customHeight="1">
      <c r="B968" s="2"/>
      <c r="C968" s="3"/>
    </row>
    <row r="969" ht="12.75" customHeight="1">
      <c r="B969" s="2"/>
      <c r="C969" s="3"/>
    </row>
    <row r="970" ht="12.75" customHeight="1">
      <c r="B970" s="2"/>
      <c r="C970" s="3"/>
    </row>
    <row r="971" ht="12.75" customHeight="1">
      <c r="B971" s="2"/>
      <c r="C971" s="3"/>
    </row>
    <row r="972" ht="12.75" customHeight="1">
      <c r="B972" s="2"/>
      <c r="C972" s="3"/>
    </row>
    <row r="973" ht="12.75" customHeight="1">
      <c r="B973" s="2"/>
      <c r="C973" s="3"/>
    </row>
    <row r="974" ht="12.75" customHeight="1">
      <c r="B974" s="2"/>
      <c r="C974" s="3"/>
    </row>
    <row r="975" ht="12.75" customHeight="1">
      <c r="B975" s="2"/>
      <c r="C975" s="3"/>
    </row>
    <row r="976" ht="12.75" customHeight="1">
      <c r="B976" s="2"/>
      <c r="C976" s="3"/>
    </row>
    <row r="977" ht="12.75" customHeight="1">
      <c r="B977" s="2"/>
      <c r="C977" s="3"/>
    </row>
    <row r="978" ht="12.75" customHeight="1">
      <c r="B978" s="2"/>
      <c r="C978" s="3"/>
    </row>
    <row r="979" ht="12.75" customHeight="1">
      <c r="B979" s="2"/>
      <c r="C979" s="3"/>
    </row>
    <row r="980" ht="12.75" customHeight="1">
      <c r="B980" s="2"/>
      <c r="C980" s="3"/>
    </row>
    <row r="981" ht="12.75" customHeight="1">
      <c r="B981" s="2"/>
      <c r="C981" s="3"/>
    </row>
    <row r="982" ht="12.75" customHeight="1">
      <c r="B982" s="2"/>
      <c r="C982" s="3"/>
    </row>
    <row r="983" ht="12.75" customHeight="1">
      <c r="B983" s="2"/>
      <c r="C983" s="3"/>
    </row>
    <row r="984" ht="12.75" customHeight="1">
      <c r="B984" s="2"/>
      <c r="C984" s="3"/>
    </row>
    <row r="985" ht="12.75" customHeight="1">
      <c r="B985" s="2"/>
      <c r="C985" s="3"/>
    </row>
    <row r="986" ht="12.75" customHeight="1">
      <c r="B986" s="2"/>
      <c r="C986" s="3"/>
    </row>
    <row r="987" ht="12.75" customHeight="1">
      <c r="B987" s="2"/>
      <c r="C987" s="3"/>
    </row>
    <row r="988" ht="12.75" customHeight="1">
      <c r="B988" s="2"/>
      <c r="C988" s="3"/>
    </row>
    <row r="989" ht="12.75" customHeight="1">
      <c r="B989" s="2"/>
      <c r="C989" s="3"/>
    </row>
    <row r="990" ht="12.75" customHeight="1">
      <c r="B990" s="2"/>
      <c r="C990" s="3"/>
    </row>
    <row r="991" ht="12.75" customHeight="1">
      <c r="B991" s="2"/>
      <c r="C991" s="3"/>
    </row>
    <row r="992" ht="12.75" customHeight="1">
      <c r="B992" s="2"/>
      <c r="C992" s="3"/>
    </row>
    <row r="993" ht="12.75" customHeight="1">
      <c r="B993" s="2"/>
      <c r="C993" s="3"/>
    </row>
    <row r="994" ht="12.75" customHeight="1">
      <c r="B994" s="2"/>
      <c r="C994" s="3"/>
    </row>
    <row r="995" ht="12.75" customHeight="1">
      <c r="B995" s="2"/>
      <c r="C995" s="3"/>
    </row>
    <row r="996" ht="12.75" customHeight="1">
      <c r="B996" s="2"/>
      <c r="C996" s="3"/>
    </row>
    <row r="997" ht="12.75" customHeight="1">
      <c r="B997" s="2"/>
      <c r="C997" s="3"/>
    </row>
    <row r="998" ht="12.75" customHeight="1">
      <c r="B998" s="2"/>
      <c r="C998" s="3"/>
    </row>
    <row r="999" ht="12.75" customHeight="1">
      <c r="B999" s="2"/>
      <c r="C999" s="3"/>
    </row>
    <row r="1000" ht="12.75" customHeight="1">
      <c r="B1000" s="2"/>
      <c r="C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1.63"/>
  </cols>
  <sheetData>
    <row r="1" ht="12.7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  <c r="J1" s="1" t="s">
        <v>3</v>
      </c>
      <c r="K1" s="1"/>
      <c r="L1" s="1" t="s">
        <v>4</v>
      </c>
      <c r="M1" s="1" t="s">
        <v>1</v>
      </c>
      <c r="N1" s="1" t="s">
        <v>2</v>
      </c>
      <c r="O1" s="1" t="s">
        <v>3</v>
      </c>
      <c r="P1" s="1"/>
      <c r="Q1" s="1" t="s">
        <v>5</v>
      </c>
      <c r="R1" s="1" t="s">
        <v>1</v>
      </c>
      <c r="S1" s="1" t="s">
        <v>2</v>
      </c>
      <c r="T1" s="1" t="s">
        <v>3</v>
      </c>
      <c r="U1" s="1" t="s">
        <v>6</v>
      </c>
      <c r="W1" s="1"/>
      <c r="X1" s="1"/>
    </row>
    <row r="2" ht="12.75" customHeight="1">
      <c r="A2" s="2"/>
      <c r="B2" s="2"/>
      <c r="C2" s="2"/>
      <c r="D2" s="7"/>
      <c r="E2" s="2"/>
      <c r="F2" s="2"/>
      <c r="G2" s="2" t="s">
        <v>19</v>
      </c>
      <c r="H2" s="13">
        <v>0.0</v>
      </c>
      <c r="I2" s="13">
        <v>-40.3790283203125</v>
      </c>
      <c r="J2" s="7">
        <f t="shared" ref="J2:J39" si="1">SQRT((U3 - H2)^2 + (V3 - I2)^2)</f>
        <v>190.3284726</v>
      </c>
      <c r="L2" s="2" t="s">
        <v>19</v>
      </c>
      <c r="M2" s="13">
        <v>0.0</v>
      </c>
      <c r="N2" s="11">
        <f>-59.56884765625++360</f>
        <v>300.4311523</v>
      </c>
      <c r="O2" s="3">
        <f t="shared" ref="O2:O39" si="2">SQRT((U3 - M2)^2 + (V3 - N2)^2)</f>
        <v>176.1083287</v>
      </c>
      <c r="Q2" s="2" t="s">
        <v>19</v>
      </c>
      <c r="R2" s="13">
        <v>0.0</v>
      </c>
      <c r="S2" s="13">
        <v>-12.8150053024292</v>
      </c>
      <c r="T2" s="3">
        <f t="shared" ref="T2:T39" si="3">SQRT((U3 - R2)^2 + (V3 - S2)^2)</f>
        <v>164.8307184</v>
      </c>
      <c r="U2" s="1" t="s">
        <v>1</v>
      </c>
      <c r="V2" s="1" t="s">
        <v>2</v>
      </c>
      <c r="W2" s="1"/>
      <c r="X2" s="1"/>
    </row>
    <row r="3" ht="12.75" customHeight="1">
      <c r="A3" s="2"/>
      <c r="B3" s="2"/>
      <c r="C3" s="2"/>
      <c r="D3" s="7"/>
      <c r="E3" s="2"/>
      <c r="F3" s="2"/>
      <c r="G3" s="2" t="s">
        <v>7</v>
      </c>
      <c r="H3" s="13">
        <v>-78.3844223022461</v>
      </c>
      <c r="I3" s="13">
        <v>124.504173278809</v>
      </c>
      <c r="J3" s="7">
        <f t="shared" si="1"/>
        <v>17.24033252</v>
      </c>
      <c r="L3" s="2" t="s">
        <v>7</v>
      </c>
      <c r="M3" s="13">
        <v>-59.0052261352539</v>
      </c>
      <c r="N3" s="19">
        <v>-30.6103839874268</v>
      </c>
      <c r="O3" s="3">
        <f t="shared" si="2"/>
        <v>168.4832303</v>
      </c>
      <c r="Q3" s="2" t="s">
        <v>7</v>
      </c>
      <c r="R3" s="13">
        <v>-63.5834770202637</v>
      </c>
      <c r="S3" s="19">
        <v>119.907943725586</v>
      </c>
      <c r="T3" s="3">
        <f t="shared" si="3"/>
        <v>18.13824366</v>
      </c>
      <c r="U3" s="18">
        <v>-67.25473349434989</v>
      </c>
      <c r="V3" s="18">
        <v>137.67076328822546</v>
      </c>
    </row>
    <row r="4" ht="12.75" customHeight="1">
      <c r="A4" s="2"/>
      <c r="B4" s="2"/>
      <c r="C4" s="2"/>
      <c r="D4" s="7"/>
      <c r="E4" s="2"/>
      <c r="F4" s="2"/>
      <c r="G4" s="2" t="s">
        <v>8</v>
      </c>
      <c r="H4" s="13">
        <v>-70.8774032592774</v>
      </c>
      <c r="I4" s="13">
        <v>129.470916748047</v>
      </c>
      <c r="J4" s="7">
        <f t="shared" si="1"/>
        <v>8.964441952</v>
      </c>
      <c r="L4" s="2" t="s">
        <v>8</v>
      </c>
      <c r="M4" s="13">
        <v>-136.257690429688</v>
      </c>
      <c r="N4" s="13">
        <v>33.6055068969727</v>
      </c>
      <c r="O4" s="3">
        <f t="shared" si="2"/>
        <v>124.8638685</v>
      </c>
      <c r="Q4" s="2" t="s">
        <v>8</v>
      </c>
      <c r="R4" s="13">
        <v>-61.614070892334</v>
      </c>
      <c r="S4" s="13">
        <v>171.121887207031</v>
      </c>
      <c r="T4" s="3">
        <f t="shared" si="3"/>
        <v>33.92336608</v>
      </c>
      <c r="U4" s="18">
        <v>-67.25473349434989</v>
      </c>
      <c r="V4" s="18">
        <v>137.67076328822546</v>
      </c>
    </row>
    <row r="5" ht="12.75" customHeight="1">
      <c r="A5" s="2"/>
      <c r="B5" s="2"/>
      <c r="C5" s="2"/>
      <c r="D5" s="7"/>
      <c r="E5" s="2"/>
      <c r="F5" s="2"/>
      <c r="G5" s="2" t="s">
        <v>20</v>
      </c>
      <c r="H5" s="13">
        <v>-121.495422363281</v>
      </c>
      <c r="I5" s="13">
        <v>163.013427734375</v>
      </c>
      <c r="J5" s="7">
        <f t="shared" si="1"/>
        <v>59.86904852</v>
      </c>
      <c r="L5" s="2" t="s">
        <v>20</v>
      </c>
      <c r="M5" s="13">
        <v>-81.4017486572266</v>
      </c>
      <c r="N5" s="13">
        <v>-6.37369585037231</v>
      </c>
      <c r="O5" s="3">
        <f t="shared" si="2"/>
        <v>144.7375012</v>
      </c>
      <c r="P5" s="2"/>
      <c r="Q5" s="2" t="s">
        <v>20</v>
      </c>
      <c r="R5" s="13">
        <v>-100.888298034668</v>
      </c>
      <c r="S5" s="13">
        <v>164.093124389648</v>
      </c>
      <c r="T5" s="3">
        <f t="shared" si="3"/>
        <v>42.77099286</v>
      </c>
      <c r="U5" s="18">
        <v>-67.25473349434989</v>
      </c>
      <c r="V5" s="18">
        <v>137.67076328822546</v>
      </c>
    </row>
    <row r="6" ht="12.75" customHeight="1">
      <c r="A6" s="2"/>
      <c r="B6" s="2"/>
      <c r="C6" s="2"/>
      <c r="D6" s="7"/>
      <c r="E6" s="2"/>
      <c r="F6" s="2"/>
      <c r="G6" s="2" t="s">
        <v>7</v>
      </c>
      <c r="H6" s="13">
        <v>49.6197319030762</v>
      </c>
      <c r="I6" s="17">
        <f>-152.141616821289+360</f>
        <v>207.8583832</v>
      </c>
      <c r="J6" s="7">
        <f t="shared" si="1"/>
        <v>136.3302705</v>
      </c>
      <c r="L6" s="2" t="s">
        <v>7</v>
      </c>
      <c r="M6" s="13">
        <v>-87.8450469970703</v>
      </c>
      <c r="N6" s="17">
        <f>-153.321502685547+360</f>
        <v>206.6784973</v>
      </c>
      <c r="O6" s="3">
        <f t="shared" si="2"/>
        <v>72.01408449</v>
      </c>
      <c r="P6" s="2"/>
      <c r="Q6" s="2" t="s">
        <v>7</v>
      </c>
      <c r="R6" s="13">
        <v>-67.2642669677734</v>
      </c>
      <c r="S6" s="17">
        <f>-166.664123535156+360</f>
        <v>193.3358765</v>
      </c>
      <c r="T6" s="3">
        <f t="shared" si="3"/>
        <v>55.66511399</v>
      </c>
      <c r="U6" s="18">
        <v>-67.2547334943499</v>
      </c>
      <c r="V6" s="18">
        <v>137.670763288225</v>
      </c>
    </row>
    <row r="7" ht="12.75" customHeight="1">
      <c r="A7" s="2"/>
      <c r="B7" s="2"/>
      <c r="C7" s="2"/>
      <c r="D7" s="7"/>
      <c r="E7" s="2"/>
      <c r="F7" s="2"/>
      <c r="G7" s="2" t="s">
        <v>8</v>
      </c>
      <c r="H7" s="13">
        <v>-90.8191680908203</v>
      </c>
      <c r="I7" s="13">
        <v>98.2885360717773</v>
      </c>
      <c r="J7" s="7">
        <f t="shared" si="1"/>
        <v>45.89381656</v>
      </c>
      <c r="L7" s="2" t="s">
        <v>8</v>
      </c>
      <c r="M7" s="13">
        <v>-46.4911270141602</v>
      </c>
      <c r="N7" s="13">
        <v>149.790557861328</v>
      </c>
      <c r="O7" s="3">
        <f t="shared" si="2"/>
        <v>24.04197942</v>
      </c>
      <c r="P7" s="2"/>
      <c r="Q7" s="2" t="s">
        <v>8</v>
      </c>
      <c r="R7" s="13">
        <v>-51.653491973877</v>
      </c>
      <c r="S7" s="13">
        <v>156.924102783203</v>
      </c>
      <c r="T7" s="3">
        <f t="shared" si="3"/>
        <v>24.78083571</v>
      </c>
      <c r="U7" s="18">
        <v>-67.2547334943499</v>
      </c>
      <c r="V7" s="18">
        <v>137.670763288225</v>
      </c>
    </row>
    <row r="8" ht="12.75" customHeight="1">
      <c r="A8" s="2"/>
      <c r="B8" s="2"/>
      <c r="C8" s="2"/>
      <c r="D8" s="7"/>
      <c r="E8" s="2"/>
      <c r="F8" s="2"/>
      <c r="G8" s="2" t="s">
        <v>20</v>
      </c>
      <c r="H8" s="13">
        <v>-60.301399230957</v>
      </c>
      <c r="I8" s="13">
        <v>131.38542175293</v>
      </c>
      <c r="J8" s="7">
        <f t="shared" si="1"/>
        <v>9.373066499</v>
      </c>
      <c r="L8" s="2" t="s">
        <v>20</v>
      </c>
      <c r="M8" s="13">
        <v>-85.7802047729492</v>
      </c>
      <c r="N8" s="13">
        <v>-17.3652439117432</v>
      </c>
      <c r="O8" s="3">
        <f t="shared" si="2"/>
        <v>156.1389017</v>
      </c>
      <c r="P8" s="2"/>
      <c r="Q8" s="2" t="s">
        <v>20</v>
      </c>
      <c r="R8" s="13">
        <v>-103.219078063965</v>
      </c>
      <c r="S8" s="13">
        <v>158.094085693359</v>
      </c>
      <c r="T8" s="3">
        <f t="shared" si="3"/>
        <v>41.35874972</v>
      </c>
      <c r="U8" s="18">
        <v>-67.2547334943499</v>
      </c>
      <c r="V8" s="18">
        <v>137.670763288225</v>
      </c>
    </row>
    <row r="9" ht="12.75" customHeight="1">
      <c r="A9" s="2"/>
      <c r="B9" s="2"/>
      <c r="C9" s="2"/>
      <c r="D9" s="7"/>
      <c r="E9" s="2"/>
      <c r="F9" s="2"/>
      <c r="G9" s="2" t="s">
        <v>7</v>
      </c>
      <c r="H9" s="13">
        <v>-75.2762985229492</v>
      </c>
      <c r="I9" s="11">
        <f>-173.891754150391+360</f>
        <v>186.1082458</v>
      </c>
      <c r="J9" s="7">
        <f t="shared" si="1"/>
        <v>49.09720178</v>
      </c>
      <c r="L9" s="2" t="s">
        <v>7</v>
      </c>
      <c r="M9" s="13">
        <v>-55.6127471923828</v>
      </c>
      <c r="N9" s="13">
        <v>160.002548217773</v>
      </c>
      <c r="O9" s="3">
        <f t="shared" si="2"/>
        <v>25.18421059</v>
      </c>
      <c r="P9" s="2"/>
      <c r="Q9" s="2" t="s">
        <v>7</v>
      </c>
      <c r="R9" s="13">
        <v>-59.96044921875</v>
      </c>
      <c r="S9" s="11">
        <f>-179.628677368164+360</f>
        <v>180.3713226</v>
      </c>
      <c r="T9" s="3">
        <f t="shared" si="3"/>
        <v>43.31909915</v>
      </c>
      <c r="U9" s="18">
        <v>-67.2547334943499</v>
      </c>
      <c r="V9" s="18">
        <v>137.670763288225</v>
      </c>
    </row>
    <row r="10" ht="12.75" customHeight="1">
      <c r="A10" s="2"/>
      <c r="B10" s="2"/>
      <c r="C10" s="2"/>
      <c r="D10" s="7"/>
      <c r="E10" s="2"/>
      <c r="F10" s="2"/>
      <c r="G10" s="2" t="s">
        <v>8</v>
      </c>
      <c r="H10" s="13">
        <v>-41.3611526489258</v>
      </c>
      <c r="I10" s="13">
        <v>146.150741577148</v>
      </c>
      <c r="J10" s="7">
        <f t="shared" si="1"/>
        <v>27.24678992</v>
      </c>
      <c r="L10" s="2" t="s">
        <v>8</v>
      </c>
      <c r="M10" s="13">
        <v>-71.2369842529297</v>
      </c>
      <c r="N10" s="13">
        <v>136.240325927734</v>
      </c>
      <c r="O10" s="3">
        <f t="shared" si="2"/>
        <v>4.231367645</v>
      </c>
      <c r="P10" s="2"/>
      <c r="Q10" s="2" t="s">
        <v>8</v>
      </c>
      <c r="R10" s="13">
        <v>-53.8615531921387</v>
      </c>
      <c r="S10" s="13">
        <v>150.745788574219</v>
      </c>
      <c r="T10" s="3">
        <f t="shared" si="3"/>
        <v>18.71719971</v>
      </c>
      <c r="U10" s="18">
        <v>-67.2547334943499</v>
      </c>
      <c r="V10" s="18">
        <v>137.670763288225</v>
      </c>
    </row>
    <row r="11" ht="12.75" customHeight="1">
      <c r="A11" s="2"/>
      <c r="B11" s="2"/>
      <c r="C11" s="2"/>
      <c r="D11" s="7"/>
      <c r="E11" s="2"/>
      <c r="F11" s="2"/>
      <c r="G11" s="2" t="s">
        <v>20</v>
      </c>
      <c r="H11" s="13">
        <v>-64.3011016845703</v>
      </c>
      <c r="I11" s="13">
        <v>136.859329223633</v>
      </c>
      <c r="J11" s="7">
        <f t="shared" si="1"/>
        <v>3.063064823</v>
      </c>
      <c r="L11" s="2" t="s">
        <v>20</v>
      </c>
      <c r="M11" s="13">
        <v>-57.5770606994629</v>
      </c>
      <c r="N11" s="13">
        <v>136.633193969727</v>
      </c>
      <c r="O11" s="3">
        <f t="shared" si="2"/>
        <v>9.733134172</v>
      </c>
      <c r="P11" s="2"/>
      <c r="Q11" s="2" t="s">
        <v>20</v>
      </c>
      <c r="R11" s="13">
        <v>-51.2984619140625</v>
      </c>
      <c r="S11" s="13">
        <v>140.055419921875</v>
      </c>
      <c r="T11" s="3">
        <f t="shared" si="3"/>
        <v>16.13348041</v>
      </c>
      <c r="U11" s="18">
        <v>-67.2547334943499</v>
      </c>
      <c r="V11" s="18">
        <v>137.670763288225</v>
      </c>
    </row>
    <row r="12" ht="12.75" customHeight="1">
      <c r="A12" s="2"/>
      <c r="B12" s="2"/>
      <c r="C12" s="2"/>
      <c r="D12" s="7"/>
      <c r="E12" s="2"/>
      <c r="F12" s="2"/>
      <c r="G12" s="2" t="s">
        <v>7</v>
      </c>
      <c r="H12" s="13">
        <v>-73.0231704711914</v>
      </c>
      <c r="I12" s="13">
        <v>175.077514648438</v>
      </c>
      <c r="J12" s="7">
        <f t="shared" si="1"/>
        <v>37.848909</v>
      </c>
      <c r="L12" s="2" t="s">
        <v>7</v>
      </c>
      <c r="M12" s="13">
        <v>-78.5409393310547</v>
      </c>
      <c r="N12" s="11">
        <f>-179.904861450195+360</f>
        <v>180.0951385</v>
      </c>
      <c r="O12" s="3">
        <f t="shared" si="2"/>
        <v>43.89995511</v>
      </c>
      <c r="P12" s="2"/>
      <c r="Q12" s="2" t="s">
        <v>7</v>
      </c>
      <c r="R12" s="13">
        <v>-57.4296493530273</v>
      </c>
      <c r="S12" s="13">
        <v>163.647720336914</v>
      </c>
      <c r="T12" s="3">
        <f t="shared" si="3"/>
        <v>27.77291083</v>
      </c>
      <c r="U12" s="18">
        <v>-67.2547334943499</v>
      </c>
      <c r="V12" s="18">
        <v>137.670763288225</v>
      </c>
    </row>
    <row r="13" ht="12.75" customHeight="1">
      <c r="A13" s="2"/>
      <c r="B13" s="2"/>
      <c r="C13" s="2"/>
      <c r="D13" s="7"/>
      <c r="E13" s="2"/>
      <c r="F13" s="2"/>
      <c r="G13" s="2" t="s">
        <v>8</v>
      </c>
      <c r="H13" s="13">
        <v>-54.3091011047363</v>
      </c>
      <c r="I13" s="13">
        <v>141.813232421875</v>
      </c>
      <c r="J13" s="7">
        <f t="shared" si="1"/>
        <v>13.59225693</v>
      </c>
      <c r="L13" s="2" t="s">
        <v>8</v>
      </c>
      <c r="M13" s="13">
        <v>-58.5876960754395</v>
      </c>
      <c r="N13" s="13">
        <v>137.166412353516</v>
      </c>
      <c r="O13" s="3">
        <f t="shared" si="2"/>
        <v>8.681699574</v>
      </c>
      <c r="P13" s="2"/>
      <c r="Q13" s="2" t="s">
        <v>8</v>
      </c>
      <c r="R13" s="13">
        <v>-40.3422584533691</v>
      </c>
      <c r="S13" s="13">
        <v>144.482421875</v>
      </c>
      <c r="T13" s="3">
        <f t="shared" si="3"/>
        <v>27.761124</v>
      </c>
      <c r="U13" s="18">
        <v>-67.2547334943499</v>
      </c>
      <c r="V13" s="18">
        <v>137.670763288225</v>
      </c>
    </row>
    <row r="14" ht="12.75" customHeight="1">
      <c r="A14" s="2"/>
      <c r="B14" s="2"/>
      <c r="C14" s="2"/>
      <c r="D14" s="7"/>
      <c r="E14" s="2"/>
      <c r="F14" s="2"/>
      <c r="G14" s="2" t="s">
        <v>20</v>
      </c>
      <c r="H14" s="13">
        <v>-47.6740074157715</v>
      </c>
      <c r="I14" s="13">
        <v>152.589477539063</v>
      </c>
      <c r="J14" s="7">
        <f t="shared" si="1"/>
        <v>24.61651618</v>
      </c>
      <c r="L14" s="2" t="s">
        <v>20</v>
      </c>
      <c r="M14" s="13">
        <v>-47.1361198425293</v>
      </c>
      <c r="N14" s="13">
        <v>125.790107727051</v>
      </c>
      <c r="O14" s="3">
        <f t="shared" si="2"/>
        <v>23.36468686</v>
      </c>
      <c r="P14" s="2"/>
      <c r="Q14" s="2" t="s">
        <v>20</v>
      </c>
      <c r="R14" s="13">
        <v>-72.4177169799805</v>
      </c>
      <c r="S14" s="13">
        <v>130.551254272461</v>
      </c>
      <c r="T14" s="3">
        <f t="shared" si="3"/>
        <v>8.794532796</v>
      </c>
      <c r="U14" s="18">
        <v>-67.2547334943499</v>
      </c>
      <c r="V14" s="18">
        <v>137.670763288225</v>
      </c>
    </row>
    <row r="15" ht="12.75" customHeight="1">
      <c r="A15" s="2"/>
      <c r="B15" s="2"/>
      <c r="C15" s="2"/>
      <c r="D15" s="7"/>
      <c r="E15" s="2"/>
      <c r="F15" s="2"/>
      <c r="G15" s="2" t="s">
        <v>7</v>
      </c>
      <c r="H15" s="13">
        <v>-61.5587730407715</v>
      </c>
      <c r="I15" s="13">
        <v>156.902755737305</v>
      </c>
      <c r="J15" s="7">
        <f t="shared" si="1"/>
        <v>20.05775409</v>
      </c>
      <c r="L15" s="2" t="s">
        <v>7</v>
      </c>
      <c r="M15" s="13">
        <v>-70.0641632080078</v>
      </c>
      <c r="N15" s="13">
        <v>178.428924560547</v>
      </c>
      <c r="O15" s="3">
        <f t="shared" si="2"/>
        <v>40.85487248</v>
      </c>
      <c r="P15" s="2"/>
      <c r="Q15" s="2" t="s">
        <v>7</v>
      </c>
      <c r="R15" s="13">
        <v>-39.7584114074707</v>
      </c>
      <c r="S15" s="13">
        <v>148.395095825195</v>
      </c>
      <c r="T15" s="3">
        <f t="shared" si="3"/>
        <v>29.5137093</v>
      </c>
      <c r="U15" s="18">
        <v>-67.2547334943499</v>
      </c>
      <c r="V15" s="18">
        <v>137.670763288225</v>
      </c>
    </row>
    <row r="16" ht="12.75" customHeight="1">
      <c r="A16" s="2"/>
      <c r="B16" s="2"/>
      <c r="C16" s="2"/>
      <c r="D16" s="7"/>
      <c r="E16" s="2"/>
      <c r="F16" s="2"/>
      <c r="G16" s="2" t="s">
        <v>8</v>
      </c>
      <c r="H16" s="13">
        <v>-51.6775894165039</v>
      </c>
      <c r="I16" s="13">
        <v>160.726898193359</v>
      </c>
      <c r="J16" s="7">
        <f t="shared" si="1"/>
        <v>27.82503862</v>
      </c>
      <c r="L16" s="2" t="s">
        <v>8</v>
      </c>
      <c r="M16" s="13">
        <v>-59.0810127258301</v>
      </c>
      <c r="N16" s="13">
        <v>143.432662963867</v>
      </c>
      <c r="O16" s="3">
        <f t="shared" si="2"/>
        <v>10.00045994</v>
      </c>
      <c r="P16" s="2"/>
      <c r="Q16" s="2" t="s">
        <v>8</v>
      </c>
      <c r="R16" s="13">
        <v>-49.0110473632813</v>
      </c>
      <c r="S16" s="13">
        <v>137.786682128906</v>
      </c>
      <c r="T16" s="3">
        <f t="shared" si="3"/>
        <v>18.2440544</v>
      </c>
      <c r="U16" s="18">
        <v>-67.2547334943499</v>
      </c>
      <c r="V16" s="18">
        <v>137.670763288225</v>
      </c>
    </row>
    <row r="17" ht="12.75" customHeight="1">
      <c r="A17" s="2"/>
      <c r="B17" s="2"/>
      <c r="C17" s="2"/>
      <c r="D17" s="7"/>
      <c r="E17" s="2"/>
      <c r="F17" s="2"/>
      <c r="G17" s="2" t="s">
        <v>21</v>
      </c>
      <c r="H17" s="13">
        <v>-37.8730430603027</v>
      </c>
      <c r="I17" s="13">
        <v>141.203704833984</v>
      </c>
      <c r="J17" s="7">
        <f t="shared" si="1"/>
        <v>29.59333386</v>
      </c>
      <c r="L17" s="2" t="s">
        <v>21</v>
      </c>
      <c r="M17" s="13">
        <v>-39.9586448669434</v>
      </c>
      <c r="N17" s="13">
        <v>130.954696655273</v>
      </c>
      <c r="O17" s="3">
        <f t="shared" si="2"/>
        <v>28.11017619</v>
      </c>
      <c r="P17" s="2"/>
      <c r="Q17" s="2" t="s">
        <v>21</v>
      </c>
      <c r="R17" s="13">
        <v>-43.8362045288086</v>
      </c>
      <c r="S17" s="13">
        <v>130.323059082031</v>
      </c>
      <c r="T17" s="3">
        <f t="shared" si="3"/>
        <v>24.54416949</v>
      </c>
      <c r="U17" s="18">
        <v>-67.2547334943499</v>
      </c>
      <c r="V17" s="18">
        <v>137.670763288225</v>
      </c>
    </row>
    <row r="18" ht="12.75" customHeight="1">
      <c r="A18" s="2"/>
      <c r="B18" s="2"/>
      <c r="C18" s="2"/>
      <c r="D18" s="7"/>
      <c r="E18" s="2"/>
      <c r="F18" s="2"/>
      <c r="G18" s="2" t="s">
        <v>7</v>
      </c>
      <c r="H18" s="13">
        <v>-68.877082824707</v>
      </c>
      <c r="I18" s="13">
        <v>175.02946472168</v>
      </c>
      <c r="J18" s="7">
        <f t="shared" si="1"/>
        <v>37.39391114</v>
      </c>
      <c r="L18" s="2" t="s">
        <v>7</v>
      </c>
      <c r="M18" s="13">
        <v>-74.0948638916016</v>
      </c>
      <c r="N18" s="19">
        <v>173.72428894043</v>
      </c>
      <c r="O18" s="3">
        <f t="shared" si="2"/>
        <v>36.69664965</v>
      </c>
      <c r="P18" s="2"/>
      <c r="Q18" s="2" t="s">
        <v>7</v>
      </c>
      <c r="R18" s="13">
        <v>-67.5308303833008</v>
      </c>
      <c r="S18" s="11">
        <f>-179.546295166016+360</f>
        <v>180.4537048</v>
      </c>
      <c r="T18" s="3">
        <f t="shared" si="3"/>
        <v>42.78383242</v>
      </c>
      <c r="U18" s="18">
        <v>-67.2547334943499</v>
      </c>
      <c r="V18" s="18">
        <v>137.670763288225</v>
      </c>
    </row>
    <row r="19" ht="12.75" customHeight="1">
      <c r="A19" s="2"/>
      <c r="B19" s="2"/>
      <c r="C19" s="2"/>
      <c r="D19" s="7"/>
      <c r="E19" s="2"/>
      <c r="F19" s="2"/>
      <c r="G19" s="2" t="s">
        <v>8</v>
      </c>
      <c r="H19" s="13">
        <v>-47.8424301147461</v>
      </c>
      <c r="I19" s="13">
        <v>159.009658813477</v>
      </c>
      <c r="J19" s="7">
        <f t="shared" si="1"/>
        <v>28.84763395</v>
      </c>
      <c r="L19" s="2" t="s">
        <v>8</v>
      </c>
      <c r="M19" s="13">
        <v>-34.2456817626953</v>
      </c>
      <c r="N19" s="13">
        <v>145.379486083984</v>
      </c>
      <c r="O19" s="3">
        <f t="shared" si="2"/>
        <v>33.8972256</v>
      </c>
      <c r="P19" s="2"/>
      <c r="Q19" s="2" t="s">
        <v>8</v>
      </c>
      <c r="R19" s="13">
        <v>-34.8910217285156</v>
      </c>
      <c r="S19" s="13">
        <v>140.084671020508</v>
      </c>
      <c r="T19" s="3">
        <f t="shared" si="3"/>
        <v>32.45360981</v>
      </c>
      <c r="U19" s="18">
        <v>-67.2547334943499</v>
      </c>
      <c r="V19" s="18">
        <v>137.670763288225</v>
      </c>
    </row>
    <row r="20" ht="12.75" customHeight="1">
      <c r="A20" s="2"/>
      <c r="B20" s="2"/>
      <c r="C20" s="2"/>
      <c r="D20" s="7"/>
      <c r="E20" s="2"/>
      <c r="F20" s="2"/>
      <c r="G20" s="2" t="s">
        <v>21</v>
      </c>
      <c r="H20" s="13">
        <v>-46.8063125610352</v>
      </c>
      <c r="I20" s="13">
        <v>147.662353515625</v>
      </c>
      <c r="J20" s="7">
        <f t="shared" si="1"/>
        <v>22.75894975</v>
      </c>
      <c r="L20" s="2" t="s">
        <v>21</v>
      </c>
      <c r="M20" s="13">
        <v>-55.0663871765137</v>
      </c>
      <c r="N20" s="13">
        <v>139.309585571289</v>
      </c>
      <c r="O20" s="3">
        <f t="shared" si="2"/>
        <v>12.29802929</v>
      </c>
      <c r="P20" s="2"/>
      <c r="Q20" s="2" t="s">
        <v>21</v>
      </c>
      <c r="R20" s="13">
        <v>-30.7643165588379</v>
      </c>
      <c r="S20" s="13">
        <v>125.257942199707</v>
      </c>
      <c r="T20" s="3">
        <f t="shared" si="3"/>
        <v>38.54385367</v>
      </c>
      <c r="U20" s="18">
        <v>-67.2547334943499</v>
      </c>
      <c r="V20" s="18">
        <v>137.670763288225</v>
      </c>
    </row>
    <row r="21" ht="12.75" customHeight="1">
      <c r="A21" s="2"/>
      <c r="B21" s="2"/>
      <c r="C21" s="2"/>
      <c r="D21" s="7"/>
      <c r="E21" s="2"/>
      <c r="F21" s="2"/>
      <c r="G21" s="2" t="s">
        <v>7</v>
      </c>
      <c r="H21" s="13">
        <v>-77.8945159912109</v>
      </c>
      <c r="I21" s="19">
        <v>171.519638061523</v>
      </c>
      <c r="J21" s="7">
        <f t="shared" si="1"/>
        <v>35.48170367</v>
      </c>
      <c r="L21" s="2" t="s">
        <v>7</v>
      </c>
      <c r="M21" s="13">
        <v>-52.4000778198242</v>
      </c>
      <c r="N21" s="17">
        <f>-177.005157470703+360</f>
        <v>182.9948425</v>
      </c>
      <c r="O21" s="3">
        <f t="shared" si="2"/>
        <v>47.69625724</v>
      </c>
      <c r="P21" s="2"/>
      <c r="Q21" s="2" t="s">
        <v>7</v>
      </c>
      <c r="R21" s="13">
        <v>-55.5106086730957</v>
      </c>
      <c r="S21" s="19">
        <v>174.169006347656</v>
      </c>
      <c r="T21" s="3">
        <f t="shared" si="3"/>
        <v>38.3411817</v>
      </c>
      <c r="U21" s="18">
        <v>-67.2547334943499</v>
      </c>
      <c r="V21" s="18">
        <v>137.670763288225</v>
      </c>
    </row>
    <row r="22" ht="12.75" customHeight="1">
      <c r="A22" s="2"/>
      <c r="B22" s="2"/>
      <c r="C22" s="2"/>
      <c r="D22" s="7"/>
      <c r="E22" s="2"/>
      <c r="F22" s="2"/>
      <c r="G22" s="2" t="s">
        <v>8</v>
      </c>
      <c r="H22" s="13">
        <v>-40.8537368774414</v>
      </c>
      <c r="I22" s="13">
        <v>148.277206420898</v>
      </c>
      <c r="J22" s="7">
        <f t="shared" si="1"/>
        <v>28.45187618</v>
      </c>
      <c r="L22" s="2" t="s">
        <v>8</v>
      </c>
      <c r="M22" s="13">
        <v>-46.123176574707</v>
      </c>
      <c r="N22" s="13">
        <v>133.619079589844</v>
      </c>
      <c r="O22" s="3">
        <f t="shared" si="2"/>
        <v>21.5164783</v>
      </c>
      <c r="P22" s="2"/>
      <c r="Q22" s="2" t="s">
        <v>8</v>
      </c>
      <c r="R22" s="13">
        <v>-41.5658302307129</v>
      </c>
      <c r="S22" s="13">
        <v>139.584274291992</v>
      </c>
      <c r="T22" s="3">
        <f t="shared" si="3"/>
        <v>25.76007134</v>
      </c>
      <c r="U22" s="18">
        <v>-67.2547334943499</v>
      </c>
      <c r="V22" s="18">
        <v>137.670763288225</v>
      </c>
    </row>
    <row r="23" ht="12.75" customHeight="1">
      <c r="A23" s="2"/>
      <c r="B23" s="2"/>
      <c r="C23" s="2"/>
      <c r="D23" s="7"/>
      <c r="E23" s="2"/>
      <c r="F23" s="2"/>
      <c r="G23" s="2" t="s">
        <v>21</v>
      </c>
      <c r="H23" s="13">
        <v>-43.0694122314453</v>
      </c>
      <c r="I23" s="13">
        <v>151.772094726563</v>
      </c>
      <c r="J23" s="7">
        <f t="shared" si="1"/>
        <v>27.99602316</v>
      </c>
      <c r="L23" s="2" t="s">
        <v>21</v>
      </c>
      <c r="M23" s="13">
        <v>-69.8617935180664</v>
      </c>
      <c r="N23" s="13">
        <v>137.508148193359</v>
      </c>
      <c r="O23" s="3">
        <f t="shared" si="2"/>
        <v>2.61212665</v>
      </c>
      <c r="P23" s="2"/>
      <c r="Q23" s="2" t="s">
        <v>21</v>
      </c>
      <c r="R23" s="13">
        <v>-38.7183227539062</v>
      </c>
      <c r="S23" s="13">
        <v>142.173431396484</v>
      </c>
      <c r="T23" s="3">
        <f t="shared" si="3"/>
        <v>28.88945756</v>
      </c>
      <c r="U23" s="18">
        <v>-67.2547334943499</v>
      </c>
      <c r="V23" s="18">
        <v>137.670763288225</v>
      </c>
    </row>
    <row r="24" ht="12.75" customHeight="1">
      <c r="A24" s="2"/>
      <c r="B24" s="2"/>
      <c r="C24" s="2"/>
      <c r="D24" s="7"/>
      <c r="E24" s="2"/>
      <c r="F24" s="2"/>
      <c r="G24" s="2" t="s">
        <v>7</v>
      </c>
      <c r="H24" s="13">
        <v>-66.5176010131836</v>
      </c>
      <c r="I24" s="19">
        <v>170.684967041016</v>
      </c>
      <c r="J24" s="7">
        <f t="shared" si="1"/>
        <v>33.02243198</v>
      </c>
      <c r="L24" s="2" t="s">
        <v>7</v>
      </c>
      <c r="M24" s="13">
        <v>-52.398307800293</v>
      </c>
      <c r="N24" s="17">
        <f>-178.806198120117+360</f>
        <v>181.1938019</v>
      </c>
      <c r="O24" s="3">
        <f t="shared" si="2"/>
        <v>45.9887842</v>
      </c>
      <c r="P24" s="2"/>
      <c r="Q24" s="2" t="s">
        <v>7</v>
      </c>
      <c r="R24" s="13">
        <v>-67.5421295166016</v>
      </c>
      <c r="S24" s="11">
        <f>-170.563583374023+360</f>
        <v>189.4364166</v>
      </c>
      <c r="T24" s="3">
        <f t="shared" si="3"/>
        <v>51.76645112</v>
      </c>
      <c r="U24" s="18">
        <v>-67.2547334943499</v>
      </c>
      <c r="V24" s="18">
        <v>137.670763288225</v>
      </c>
    </row>
    <row r="25" ht="12.75" customHeight="1">
      <c r="A25" s="2"/>
      <c r="B25" s="2"/>
      <c r="C25" s="2"/>
      <c r="D25" s="7"/>
      <c r="E25" s="2"/>
      <c r="F25" s="2"/>
      <c r="G25" s="2" t="s">
        <v>8</v>
      </c>
      <c r="H25" s="13">
        <v>-41.5018539428711</v>
      </c>
      <c r="I25" s="13">
        <v>121.093711853027</v>
      </c>
      <c r="J25" s="7">
        <f t="shared" si="1"/>
        <v>30.62693977</v>
      </c>
      <c r="L25" s="2" t="s">
        <v>8</v>
      </c>
      <c r="M25" s="13">
        <v>-47.8073463439941</v>
      </c>
      <c r="N25" s="13">
        <v>147.978134155273</v>
      </c>
      <c r="O25" s="3">
        <f t="shared" si="2"/>
        <v>22.01006045</v>
      </c>
      <c r="P25" s="2"/>
      <c r="Q25" s="2" t="s">
        <v>8</v>
      </c>
      <c r="R25" s="13">
        <v>-50.1884231567383</v>
      </c>
      <c r="S25" s="13">
        <v>125.747283935547</v>
      </c>
      <c r="T25" s="3">
        <f t="shared" si="3"/>
        <v>20.8189411</v>
      </c>
      <c r="U25" s="18">
        <v>-67.2547334943499</v>
      </c>
      <c r="V25" s="18">
        <v>137.670763288225</v>
      </c>
    </row>
    <row r="26" ht="12.75" customHeight="1">
      <c r="A26" s="2"/>
      <c r="B26" s="2"/>
      <c r="C26" s="2"/>
      <c r="D26" s="7"/>
      <c r="E26" s="2"/>
      <c r="F26" s="2"/>
      <c r="G26" s="2" t="s">
        <v>21</v>
      </c>
      <c r="H26" s="13">
        <v>-37.3082695007324</v>
      </c>
      <c r="I26" s="13">
        <v>130.639617919922</v>
      </c>
      <c r="J26" s="7">
        <f t="shared" si="1"/>
        <v>30.76081454</v>
      </c>
      <c r="L26" s="2" t="s">
        <v>21</v>
      </c>
      <c r="M26" s="13">
        <v>-47.8861541748047</v>
      </c>
      <c r="N26" s="13">
        <v>132.158447265625</v>
      </c>
      <c r="O26" s="3">
        <f t="shared" si="2"/>
        <v>20.1377132</v>
      </c>
      <c r="P26" s="2"/>
      <c r="Q26" s="2" t="s">
        <v>21</v>
      </c>
      <c r="R26" s="13">
        <v>-36.6567230224609</v>
      </c>
      <c r="S26" s="13">
        <v>139.702987670898</v>
      </c>
      <c r="T26" s="3">
        <f t="shared" si="3"/>
        <v>30.66542321</v>
      </c>
      <c r="U26" s="18">
        <v>-67.2547334943499</v>
      </c>
      <c r="V26" s="18">
        <v>137.670763288225</v>
      </c>
    </row>
    <row r="27" ht="12.75" customHeight="1">
      <c r="A27" s="2"/>
      <c r="B27" s="2"/>
      <c r="C27" s="2"/>
      <c r="D27" s="7"/>
      <c r="E27" s="2"/>
      <c r="F27" s="2"/>
      <c r="G27" s="2" t="s">
        <v>7</v>
      </c>
      <c r="H27" s="13">
        <v>-58.0254325866699</v>
      </c>
      <c r="I27" s="13">
        <v>174.028900146484</v>
      </c>
      <c r="J27" s="7">
        <f t="shared" si="1"/>
        <v>37.51125313</v>
      </c>
      <c r="L27" s="2" t="s">
        <v>7</v>
      </c>
      <c r="M27" s="13">
        <v>-56.5742950439453</v>
      </c>
      <c r="N27" s="19">
        <v>161.860488891602</v>
      </c>
      <c r="O27" s="3">
        <f t="shared" si="2"/>
        <v>26.4426661</v>
      </c>
      <c r="P27" s="2"/>
      <c r="Q27" s="2" t="s">
        <v>7</v>
      </c>
      <c r="R27" s="13">
        <v>-64.6203765869141</v>
      </c>
      <c r="S27" s="13">
        <v>169.035827636719</v>
      </c>
      <c r="T27" s="3">
        <f t="shared" si="3"/>
        <v>31.47549996</v>
      </c>
      <c r="U27" s="18">
        <v>-67.2547334943499</v>
      </c>
      <c r="V27" s="18">
        <v>137.670763288225</v>
      </c>
    </row>
    <row r="28" ht="12.75" customHeight="1">
      <c r="A28" s="2"/>
      <c r="B28" s="2"/>
      <c r="C28" s="2"/>
      <c r="D28" s="7"/>
      <c r="E28" s="2"/>
      <c r="F28" s="2"/>
      <c r="G28" s="2" t="s">
        <v>15</v>
      </c>
      <c r="H28" s="13">
        <v>-65.9509201049805</v>
      </c>
      <c r="I28" s="13">
        <v>157.430725097656</v>
      </c>
      <c r="J28" s="7">
        <f t="shared" si="1"/>
        <v>19.80292958</v>
      </c>
      <c r="L28" s="2" t="s">
        <v>15</v>
      </c>
      <c r="M28" s="13">
        <v>-79.1438827514648</v>
      </c>
      <c r="N28" s="13">
        <v>151.497512817383</v>
      </c>
      <c r="O28" s="3">
        <f t="shared" si="2"/>
        <v>18.23542905</v>
      </c>
      <c r="P28" s="2"/>
      <c r="Q28" s="2" t="s">
        <v>15</v>
      </c>
      <c r="R28" s="13">
        <v>-59.3729133605957</v>
      </c>
      <c r="S28" s="13">
        <v>145.309265136719</v>
      </c>
      <c r="T28" s="3">
        <f t="shared" si="3"/>
        <v>10.9758735</v>
      </c>
      <c r="U28" s="18">
        <v>-67.2547334943499</v>
      </c>
      <c r="V28" s="18">
        <v>137.670763288225</v>
      </c>
    </row>
    <row r="29" ht="12.75" customHeight="1">
      <c r="A29" s="2"/>
      <c r="B29" s="2"/>
      <c r="C29" s="2"/>
      <c r="D29" s="7"/>
      <c r="E29" s="2"/>
      <c r="F29" s="2"/>
      <c r="G29" s="2" t="s">
        <v>21</v>
      </c>
      <c r="H29" s="13">
        <v>-54.5173568725586</v>
      </c>
      <c r="I29" s="13">
        <v>135.170822143555</v>
      </c>
      <c r="J29" s="7">
        <f t="shared" si="1"/>
        <v>12.98038786</v>
      </c>
      <c r="L29" s="2" t="s">
        <v>21</v>
      </c>
      <c r="M29" s="13">
        <v>-57.2531356811524</v>
      </c>
      <c r="N29" s="13">
        <v>148.131423950195</v>
      </c>
      <c r="O29" s="3">
        <f t="shared" si="2"/>
        <v>14.47264248</v>
      </c>
      <c r="P29" s="2"/>
      <c r="Q29" s="2" t="s">
        <v>21</v>
      </c>
      <c r="R29" s="13">
        <v>-51.4074516296387</v>
      </c>
      <c r="S29" s="13">
        <v>137.034469604492</v>
      </c>
      <c r="T29" s="3">
        <f t="shared" si="3"/>
        <v>15.86005082</v>
      </c>
      <c r="U29" s="18">
        <v>-67.2547334943499</v>
      </c>
      <c r="V29" s="18">
        <v>137.670763288225</v>
      </c>
    </row>
    <row r="30" ht="12.75" customHeight="1">
      <c r="A30" s="2"/>
      <c r="B30" s="2"/>
      <c r="C30" s="2"/>
      <c r="D30" s="7"/>
      <c r="E30" s="2"/>
      <c r="F30" s="2"/>
      <c r="G30" s="2" t="s">
        <v>7</v>
      </c>
      <c r="H30" s="13">
        <v>-57.0799217224121</v>
      </c>
      <c r="I30" s="13">
        <v>178.015075683594</v>
      </c>
      <c r="J30" s="7">
        <f t="shared" si="1"/>
        <v>41.60757548</v>
      </c>
      <c r="L30" s="2" t="s">
        <v>7</v>
      </c>
      <c r="M30" s="13">
        <v>-67.6868286132813</v>
      </c>
      <c r="N30" s="19">
        <v>164.471664428711</v>
      </c>
      <c r="O30" s="3">
        <f t="shared" si="2"/>
        <v>26.80438412</v>
      </c>
      <c r="P30" s="2"/>
      <c r="Q30" s="2" t="s">
        <v>7</v>
      </c>
      <c r="R30" s="13">
        <v>-62.0066986083984</v>
      </c>
      <c r="S30" s="13">
        <v>171.337127685547</v>
      </c>
      <c r="T30" s="3">
        <f t="shared" si="3"/>
        <v>34.07295059</v>
      </c>
      <c r="U30" s="18">
        <v>-67.2547334943499</v>
      </c>
      <c r="V30" s="18">
        <v>137.670763288225</v>
      </c>
    </row>
    <row r="31" ht="12.75" customHeight="1">
      <c r="A31" s="2"/>
      <c r="B31" s="2"/>
      <c r="C31" s="2"/>
      <c r="D31" s="7"/>
      <c r="E31" s="2"/>
      <c r="F31" s="2"/>
      <c r="G31" s="2" t="s">
        <v>15</v>
      </c>
      <c r="H31" s="13">
        <v>-72.9763565063477</v>
      </c>
      <c r="I31" s="13">
        <v>166.631195068359</v>
      </c>
      <c r="J31" s="7">
        <f t="shared" si="1"/>
        <v>29.52022322</v>
      </c>
      <c r="L31" s="2" t="s">
        <v>15</v>
      </c>
      <c r="M31" s="13">
        <v>-72.6711578369141</v>
      </c>
      <c r="N31" s="13">
        <v>153.355041503906</v>
      </c>
      <c r="O31" s="3">
        <f t="shared" si="2"/>
        <v>16.59319848</v>
      </c>
      <c r="P31" s="2"/>
      <c r="Q31" s="2" t="s">
        <v>15</v>
      </c>
      <c r="R31" s="13">
        <v>-72.3055801391602</v>
      </c>
      <c r="S31" s="13">
        <v>158.196182250977</v>
      </c>
      <c r="T31" s="3">
        <f t="shared" si="3"/>
        <v>21.13773582</v>
      </c>
      <c r="U31" s="18">
        <v>-67.2547334943499</v>
      </c>
      <c r="V31" s="18">
        <v>137.670763288225</v>
      </c>
    </row>
    <row r="32" ht="12.75" customHeight="1">
      <c r="A32" s="2"/>
      <c r="B32" s="2"/>
      <c r="C32" s="2"/>
      <c r="D32" s="7"/>
      <c r="E32" s="2"/>
      <c r="F32" s="2"/>
      <c r="G32" s="2" t="s">
        <v>21</v>
      </c>
      <c r="H32" s="13">
        <v>-42.2204780578613</v>
      </c>
      <c r="I32" s="13">
        <v>128.753768920898</v>
      </c>
      <c r="J32" s="7">
        <f t="shared" si="1"/>
        <v>26.57492679</v>
      </c>
      <c r="L32" s="2" t="s">
        <v>21</v>
      </c>
      <c r="M32" s="13">
        <v>-58.8934097290039</v>
      </c>
      <c r="N32" s="13">
        <v>139.290161132813</v>
      </c>
      <c r="O32" s="3">
        <f t="shared" si="2"/>
        <v>8.516700329</v>
      </c>
      <c r="P32" s="2"/>
      <c r="Q32" s="2" t="s">
        <v>21</v>
      </c>
      <c r="R32" s="13">
        <v>-47.3775177001953</v>
      </c>
      <c r="S32" s="13">
        <v>138.96223449707</v>
      </c>
      <c r="T32" s="3">
        <f t="shared" si="3"/>
        <v>19.91912663</v>
      </c>
      <c r="U32" s="18">
        <v>-67.2547334943499</v>
      </c>
      <c r="V32" s="18">
        <v>137.670763288225</v>
      </c>
    </row>
    <row r="33" ht="12.75" customHeight="1">
      <c r="A33" s="2"/>
      <c r="B33" s="2"/>
      <c r="C33" s="2"/>
      <c r="D33" s="7"/>
      <c r="E33" s="2"/>
      <c r="F33" s="2"/>
      <c r="G33" s="2" t="s">
        <v>7</v>
      </c>
      <c r="H33" s="13">
        <v>-54.1382446289063</v>
      </c>
      <c r="I33" s="11">
        <f>-173.85026550293+360</f>
        <v>186.1497345</v>
      </c>
      <c r="J33" s="7">
        <f t="shared" si="1"/>
        <v>50.2220363</v>
      </c>
      <c r="L33" s="2" t="s">
        <v>7</v>
      </c>
      <c r="M33" s="13">
        <v>-77.4025955200195</v>
      </c>
      <c r="N33" s="11">
        <f>-174.450454711914+360</f>
        <v>185.5495453</v>
      </c>
      <c r="O33" s="3">
        <f t="shared" si="2"/>
        <v>48.94238316</v>
      </c>
      <c r="P33" s="2"/>
      <c r="Q33" s="2" t="s">
        <v>7</v>
      </c>
      <c r="R33" s="13">
        <v>-60.0068321228027</v>
      </c>
      <c r="S33" s="11">
        <f>-170.57585144043+360</f>
        <v>189.4241486</v>
      </c>
      <c r="T33" s="3">
        <f t="shared" si="3"/>
        <v>52.25844392</v>
      </c>
      <c r="U33" s="18">
        <v>-67.2547334943499</v>
      </c>
      <c r="V33" s="18">
        <v>137.670763288225</v>
      </c>
    </row>
    <row r="34" ht="12.75" customHeight="1">
      <c r="A34" s="2"/>
      <c r="B34" s="2"/>
      <c r="C34" s="2"/>
      <c r="D34" s="7"/>
      <c r="E34" s="2"/>
      <c r="F34" s="2"/>
      <c r="G34" s="2" t="s">
        <v>15</v>
      </c>
      <c r="H34" s="13">
        <v>-64.357551574707</v>
      </c>
      <c r="I34" s="13">
        <v>142.294464111328</v>
      </c>
      <c r="J34" s="7">
        <f t="shared" si="1"/>
        <v>5.456397381</v>
      </c>
      <c r="L34" s="2" t="s">
        <v>15</v>
      </c>
      <c r="M34" s="13">
        <v>-68.3065872192383</v>
      </c>
      <c r="N34" s="13">
        <v>148.856399536133</v>
      </c>
      <c r="O34" s="3">
        <f t="shared" si="2"/>
        <v>11.23498351</v>
      </c>
      <c r="P34" s="2"/>
      <c r="Q34" s="2" t="s">
        <v>15</v>
      </c>
      <c r="R34" s="13">
        <v>-55.2065925598145</v>
      </c>
      <c r="S34" s="13">
        <v>144.382186889648</v>
      </c>
      <c r="T34" s="3">
        <f t="shared" si="3"/>
        <v>13.79133448</v>
      </c>
      <c r="U34" s="18">
        <v>-67.2547334943499</v>
      </c>
      <c r="V34" s="18">
        <v>137.670763288225</v>
      </c>
    </row>
    <row r="35" ht="12.75" customHeight="1">
      <c r="A35" s="2"/>
      <c r="B35" s="2"/>
      <c r="C35" s="2"/>
      <c r="D35" s="7"/>
      <c r="E35" s="2"/>
      <c r="F35" s="2"/>
      <c r="G35" s="2" t="s">
        <v>21</v>
      </c>
      <c r="H35" s="13">
        <v>-49.0166931152344</v>
      </c>
      <c r="I35" s="13">
        <v>126.524978637695</v>
      </c>
      <c r="J35" s="7">
        <f t="shared" si="1"/>
        <v>21.37415805</v>
      </c>
      <c r="L35" s="2" t="s">
        <v>21</v>
      </c>
      <c r="M35" s="13">
        <v>-48.7989807128906</v>
      </c>
      <c r="N35" s="13">
        <v>142.129364013672</v>
      </c>
      <c r="O35" s="3">
        <f t="shared" si="2"/>
        <v>18.98667773</v>
      </c>
      <c r="P35" s="2"/>
      <c r="Q35" s="2" t="s">
        <v>21</v>
      </c>
      <c r="R35" s="13">
        <v>-46.5120048522949</v>
      </c>
      <c r="S35" s="13">
        <v>123.603759765625</v>
      </c>
      <c r="T35" s="3">
        <f t="shared" si="3"/>
        <v>25.06274884</v>
      </c>
      <c r="U35" s="18">
        <v>-67.2547334943499</v>
      </c>
      <c r="V35" s="18">
        <v>137.670763288225</v>
      </c>
    </row>
    <row r="36" ht="12.75" customHeight="1">
      <c r="A36" s="2"/>
      <c r="B36" s="2"/>
      <c r="C36" s="2"/>
      <c r="D36" s="7"/>
      <c r="E36" s="2"/>
      <c r="F36" s="2"/>
      <c r="G36" s="2" t="s">
        <v>7</v>
      </c>
      <c r="H36" s="13">
        <v>-51.8078842163086</v>
      </c>
      <c r="I36" s="19">
        <v>161.379974365234</v>
      </c>
      <c r="J36" s="7">
        <f t="shared" si="1"/>
        <v>28.29720556</v>
      </c>
      <c r="L36" s="2" t="s">
        <v>7</v>
      </c>
      <c r="M36" s="13">
        <v>-88.9158554077148</v>
      </c>
      <c r="N36" s="11">
        <f>-171.635330200195+360</f>
        <v>188.3646698</v>
      </c>
      <c r="O36" s="3">
        <f t="shared" si="2"/>
        <v>55.12781839</v>
      </c>
      <c r="P36" s="2"/>
      <c r="Q36" s="2" t="s">
        <v>7</v>
      </c>
      <c r="R36" s="13">
        <v>-43.1841087341309</v>
      </c>
      <c r="S36" s="19">
        <v>161.963409423828</v>
      </c>
      <c r="T36" s="3">
        <f t="shared" si="3"/>
        <v>34.19835716</v>
      </c>
      <c r="U36" s="18">
        <v>-67.2547334943499</v>
      </c>
      <c r="V36" s="18">
        <v>137.670763288225</v>
      </c>
    </row>
    <row r="37" ht="12.75" customHeight="1">
      <c r="A37" s="2"/>
      <c r="B37" s="2"/>
      <c r="C37" s="2"/>
      <c r="D37" s="7"/>
      <c r="E37" s="2"/>
      <c r="F37" s="2"/>
      <c r="G37" s="2" t="s">
        <v>15</v>
      </c>
      <c r="H37" s="13">
        <v>-53.7756729125977</v>
      </c>
      <c r="I37" s="13">
        <v>141.947982788086</v>
      </c>
      <c r="J37" s="7">
        <f t="shared" si="1"/>
        <v>14.14141721</v>
      </c>
      <c r="L37" s="2" t="s">
        <v>15</v>
      </c>
      <c r="M37" s="13">
        <v>-65.3223495483398</v>
      </c>
      <c r="N37" s="13">
        <v>152.609512329102</v>
      </c>
      <c r="O37" s="3">
        <f t="shared" si="2"/>
        <v>15.06321117</v>
      </c>
      <c r="P37" s="2"/>
      <c r="Q37" s="2" t="s">
        <v>15</v>
      </c>
      <c r="R37" s="13">
        <v>-64.1250457763672</v>
      </c>
      <c r="S37" s="13">
        <v>126.709274291992</v>
      </c>
      <c r="T37" s="3">
        <f t="shared" si="3"/>
        <v>11.3995257</v>
      </c>
      <c r="U37" s="18">
        <v>-67.2547334943499</v>
      </c>
      <c r="V37" s="18">
        <v>137.670763288225</v>
      </c>
    </row>
    <row r="38" ht="12.75" customHeight="1">
      <c r="A38" s="2"/>
      <c r="B38" s="2"/>
      <c r="C38" s="2"/>
      <c r="D38" s="7"/>
      <c r="E38" s="2"/>
      <c r="F38" s="2"/>
      <c r="G38" s="2" t="s">
        <v>21</v>
      </c>
      <c r="H38" s="13">
        <v>-48.8580932617188</v>
      </c>
      <c r="I38" s="13">
        <v>157.180847167969</v>
      </c>
      <c r="J38" s="7">
        <f t="shared" si="1"/>
        <v>26.8156623</v>
      </c>
      <c r="L38" s="2" t="s">
        <v>21</v>
      </c>
      <c r="M38" s="13">
        <v>-55.254035949707</v>
      </c>
      <c r="N38" s="13">
        <v>139.762588500977</v>
      </c>
      <c r="O38" s="3">
        <f t="shared" si="2"/>
        <v>12.18164497</v>
      </c>
      <c r="P38" s="2"/>
      <c r="Q38" s="2" t="s">
        <v>21</v>
      </c>
      <c r="R38" s="13">
        <v>-38.0565414428711</v>
      </c>
      <c r="S38" s="13">
        <v>133.587448120117</v>
      </c>
      <c r="T38" s="3">
        <f t="shared" si="3"/>
        <v>29.48233169</v>
      </c>
      <c r="U38" s="18">
        <v>-67.2547334943499</v>
      </c>
      <c r="V38" s="18">
        <v>137.670763288225</v>
      </c>
    </row>
    <row r="39" ht="12.75" customHeight="1">
      <c r="A39" s="2"/>
      <c r="B39" s="2"/>
      <c r="C39" s="2"/>
      <c r="D39" s="7"/>
      <c r="E39" s="2"/>
      <c r="F39" s="2"/>
      <c r="G39" s="2" t="s">
        <v>7</v>
      </c>
      <c r="H39" s="13">
        <v>67.4801406860352</v>
      </c>
      <c r="I39" s="13">
        <v>0.0</v>
      </c>
      <c r="J39" s="7">
        <f t="shared" si="1"/>
        <v>192.6310603</v>
      </c>
      <c r="L39" s="2" t="s">
        <v>7</v>
      </c>
      <c r="M39" s="13">
        <v>-65.2735061645508</v>
      </c>
      <c r="N39" s="13">
        <v>0.0</v>
      </c>
      <c r="O39" s="3">
        <f t="shared" si="2"/>
        <v>137.6850185</v>
      </c>
      <c r="P39" s="2"/>
      <c r="Q39" s="2" t="s">
        <v>7</v>
      </c>
      <c r="R39" s="13">
        <v>58.1505165100098</v>
      </c>
      <c r="S39" s="13">
        <v>0.0</v>
      </c>
      <c r="T39" s="3">
        <f t="shared" si="3"/>
        <v>186.2249065</v>
      </c>
      <c r="U39" s="18">
        <v>-67.2547334943499</v>
      </c>
      <c r="V39" s="18">
        <v>137.670763288225</v>
      </c>
    </row>
    <row r="40" ht="12.75" customHeight="1">
      <c r="U40" s="18">
        <v>-67.2547334943499</v>
      </c>
      <c r="V40" s="18">
        <v>137.670763288225</v>
      </c>
    </row>
    <row r="41" ht="12.75" customHeight="1">
      <c r="B41" s="1"/>
      <c r="H41" s="1" t="s">
        <v>16</v>
      </c>
      <c r="L41" s="8" t="s">
        <v>17</v>
      </c>
      <c r="M41" s="8" t="s">
        <v>22</v>
      </c>
    </row>
    <row r="42" ht="12.75" customHeight="1">
      <c r="B42" s="2"/>
      <c r="C42" s="3"/>
      <c r="E42" s="3"/>
      <c r="F42" s="3"/>
      <c r="H42" s="2" t="s">
        <v>19</v>
      </c>
      <c r="I42" s="3">
        <f t="shared" ref="I42:I79" si="4">AVERAGE(J2,O2,T2)</f>
        <v>177.0891732</v>
      </c>
      <c r="K42" s="3">
        <v>71.934206455097</v>
      </c>
      <c r="L42" s="3">
        <f t="shared" ref="L42:L79" si="5">STDEV(J2,O2,T2)</f>
        <v>12.77714401</v>
      </c>
      <c r="M42" s="7">
        <f t="shared" ref="M42:M79" si="6">L42/SQRT(3)</f>
        <v>7.376887532</v>
      </c>
    </row>
    <row r="43" ht="12.75" customHeight="1">
      <c r="B43" s="2"/>
      <c r="C43" s="3"/>
      <c r="E43" s="3"/>
      <c r="F43" s="3"/>
      <c r="H43" s="2" t="s">
        <v>7</v>
      </c>
      <c r="I43" s="3">
        <f t="shared" si="4"/>
        <v>67.9539355</v>
      </c>
      <c r="K43" s="3">
        <v>123.949106963662</v>
      </c>
      <c r="L43" s="3">
        <f t="shared" si="5"/>
        <v>87.06208072</v>
      </c>
      <c r="M43" s="7">
        <f t="shared" si="6"/>
        <v>50.26531574</v>
      </c>
    </row>
    <row r="44" ht="12.75" customHeight="1">
      <c r="B44" s="2"/>
      <c r="C44" s="3"/>
      <c r="E44" s="3"/>
      <c r="F44" s="3"/>
      <c r="H44" s="2" t="s">
        <v>8</v>
      </c>
      <c r="I44" s="3">
        <f t="shared" si="4"/>
        <v>55.91722551</v>
      </c>
      <c r="K44" s="3">
        <v>33.5044674353153</v>
      </c>
      <c r="L44" s="3">
        <f t="shared" si="5"/>
        <v>60.9997267</v>
      </c>
      <c r="M44" s="7">
        <f t="shared" si="6"/>
        <v>35.21820863</v>
      </c>
    </row>
    <row r="45" ht="12.75" customHeight="1">
      <c r="B45" s="2"/>
      <c r="C45" s="3"/>
      <c r="E45" s="3"/>
      <c r="F45" s="3"/>
      <c r="H45" s="2" t="s">
        <v>20</v>
      </c>
      <c r="I45" s="3">
        <f t="shared" si="4"/>
        <v>82.45918085</v>
      </c>
      <c r="K45" s="3">
        <v>73.5136195424533</v>
      </c>
      <c r="L45" s="3">
        <f t="shared" si="5"/>
        <v>54.60794598</v>
      </c>
      <c r="M45" s="7">
        <f t="shared" si="6"/>
        <v>31.52791231</v>
      </c>
      <c r="P45" s="10">
        <v>-60.301399230957</v>
      </c>
      <c r="Q45" s="10">
        <v>131.38542175293</v>
      </c>
    </row>
    <row r="46" ht="12.75" customHeight="1">
      <c r="B46" s="2"/>
      <c r="C46" s="3"/>
      <c r="E46" s="3"/>
      <c r="F46" s="3"/>
      <c r="H46" s="2" t="s">
        <v>7</v>
      </c>
      <c r="I46" s="3">
        <f t="shared" si="4"/>
        <v>88.00315632</v>
      </c>
      <c r="K46" s="3">
        <v>107.321864191733</v>
      </c>
      <c r="L46" s="3">
        <f t="shared" si="5"/>
        <v>42.64334275</v>
      </c>
      <c r="M46" s="7">
        <f t="shared" si="6"/>
        <v>24.62014542</v>
      </c>
      <c r="P46" s="10">
        <v>-64.3011016845703</v>
      </c>
      <c r="Q46" s="10">
        <v>136.859329223633</v>
      </c>
    </row>
    <row r="47" ht="12.75" customHeight="1">
      <c r="B47" s="2"/>
      <c r="C47" s="3"/>
      <c r="E47" s="3"/>
      <c r="F47" s="3"/>
      <c r="H47" s="2" t="s">
        <v>8</v>
      </c>
      <c r="I47" s="3">
        <f t="shared" si="4"/>
        <v>31.57221057</v>
      </c>
      <c r="K47" s="3">
        <v>26.0371001552945</v>
      </c>
      <c r="L47" s="3">
        <f t="shared" si="5"/>
        <v>12.40837523</v>
      </c>
      <c r="M47" s="7">
        <f t="shared" si="6"/>
        <v>7.163978779</v>
      </c>
      <c r="P47" s="10">
        <v>-64.357551574707</v>
      </c>
      <c r="Q47" s="10">
        <v>142.294464111328</v>
      </c>
    </row>
    <row r="48" ht="12.75" customHeight="1">
      <c r="B48" s="2"/>
      <c r="C48" s="3"/>
      <c r="E48" s="3"/>
      <c r="F48" s="3"/>
      <c r="H48" s="2" t="s">
        <v>20</v>
      </c>
      <c r="I48" s="3">
        <f t="shared" si="4"/>
        <v>68.95690596</v>
      </c>
      <c r="K48" s="3">
        <v>19.3926183182707</v>
      </c>
      <c r="L48" s="3">
        <f t="shared" si="5"/>
        <v>77.17704493</v>
      </c>
      <c r="M48" s="7">
        <f t="shared" si="6"/>
        <v>44.55818767</v>
      </c>
      <c r="P48" s="10">
        <v>-71.2369842529297</v>
      </c>
      <c r="Q48" s="10">
        <v>136.240325927734</v>
      </c>
    </row>
    <row r="49" ht="12.75" customHeight="1">
      <c r="B49" s="2"/>
      <c r="C49" s="3"/>
      <c r="E49" s="3"/>
      <c r="F49" s="3"/>
      <c r="H49" s="2" t="s">
        <v>7</v>
      </c>
      <c r="I49" s="3">
        <f t="shared" si="4"/>
        <v>39.20017051</v>
      </c>
      <c r="K49" s="3">
        <v>26.9594120498631</v>
      </c>
      <c r="L49" s="3">
        <f t="shared" si="5"/>
        <v>12.47725798</v>
      </c>
      <c r="M49" s="7">
        <f t="shared" si="6"/>
        <v>7.203748254</v>
      </c>
      <c r="P49" s="10">
        <v>-69.8617935180664</v>
      </c>
      <c r="Q49" s="10">
        <v>137.508148193359</v>
      </c>
    </row>
    <row r="50" ht="12.75" customHeight="1">
      <c r="B50" s="2"/>
      <c r="C50" s="3"/>
      <c r="E50" s="3"/>
      <c r="F50" s="3"/>
      <c r="H50" s="2" t="s">
        <v>8</v>
      </c>
      <c r="I50" s="3">
        <f t="shared" si="4"/>
        <v>16.73178576</v>
      </c>
      <c r="K50" s="3">
        <v>13.85419752987</v>
      </c>
      <c r="L50" s="3">
        <f t="shared" si="5"/>
        <v>11.63545517</v>
      </c>
      <c r="M50" s="7">
        <f t="shared" si="6"/>
        <v>6.717733174</v>
      </c>
      <c r="P50" s="10">
        <v>-68.3065872192383</v>
      </c>
      <c r="Q50" s="10">
        <v>148.856399536133</v>
      </c>
    </row>
    <row r="51" ht="12.75" customHeight="1">
      <c r="B51" s="2"/>
      <c r="C51" s="3"/>
      <c r="E51" s="3"/>
      <c r="F51" s="3"/>
      <c r="H51" s="2" t="s">
        <v>20</v>
      </c>
      <c r="I51" s="3">
        <f t="shared" si="4"/>
        <v>9.643226467</v>
      </c>
      <c r="K51" s="3">
        <v>14.5506086853734</v>
      </c>
      <c r="L51" s="3">
        <f t="shared" si="5"/>
        <v>6.535671612</v>
      </c>
      <c r="M51" s="7">
        <f t="shared" si="6"/>
        <v>3.773371765</v>
      </c>
      <c r="P51" s="10">
        <v>-72.4177169799805</v>
      </c>
      <c r="Q51" s="10">
        <v>130.551254272461</v>
      </c>
    </row>
    <row r="52" ht="12.75" customHeight="1">
      <c r="B52" s="2"/>
      <c r="C52" s="3"/>
      <c r="E52" s="3"/>
      <c r="F52" s="3"/>
      <c r="H52" s="2" t="s">
        <v>7</v>
      </c>
      <c r="I52" s="3">
        <f t="shared" si="4"/>
        <v>36.50725831</v>
      </c>
      <c r="K52" s="3">
        <v>29.5236445901694</v>
      </c>
      <c r="L52" s="3">
        <f t="shared" si="5"/>
        <v>8.14680362</v>
      </c>
      <c r="M52" s="7">
        <f t="shared" si="6"/>
        <v>4.703559263</v>
      </c>
    </row>
    <row r="53" ht="12.75" customHeight="1">
      <c r="B53" s="2"/>
      <c r="C53" s="3"/>
      <c r="E53" s="3"/>
      <c r="F53" s="3"/>
      <c r="H53" s="2" t="s">
        <v>8</v>
      </c>
      <c r="I53" s="3">
        <f t="shared" si="4"/>
        <v>16.67836017</v>
      </c>
      <c r="K53" s="3">
        <v>13.6523538402022</v>
      </c>
      <c r="L53" s="3">
        <f t="shared" si="5"/>
        <v>9.907024476</v>
      </c>
      <c r="M53" s="7">
        <f t="shared" si="6"/>
        <v>5.719823248</v>
      </c>
    </row>
    <row r="54" ht="12.75" customHeight="1">
      <c r="B54" s="2"/>
      <c r="C54" s="3"/>
      <c r="E54" s="3"/>
      <c r="F54" s="3"/>
      <c r="H54" s="2" t="s">
        <v>20</v>
      </c>
      <c r="I54" s="3">
        <f t="shared" si="4"/>
        <v>18.92524528</v>
      </c>
      <c r="K54" s="3">
        <v>8.08485562416847</v>
      </c>
      <c r="L54" s="3">
        <f t="shared" si="5"/>
        <v>8.795752991</v>
      </c>
      <c r="M54" s="7">
        <f t="shared" si="6"/>
        <v>5.078230357</v>
      </c>
    </row>
    <row r="55" ht="12.75" customHeight="1">
      <c r="B55" s="2"/>
      <c r="C55" s="3"/>
      <c r="E55" s="3"/>
      <c r="F55" s="3"/>
      <c r="H55" s="2" t="s">
        <v>7</v>
      </c>
      <c r="I55" s="3">
        <f t="shared" si="4"/>
        <v>30.14211196</v>
      </c>
      <c r="K55" s="3">
        <v>29.3415198952633</v>
      </c>
      <c r="L55" s="3">
        <f t="shared" si="5"/>
        <v>10.41279025</v>
      </c>
      <c r="M55" s="7">
        <f t="shared" si="6"/>
        <v>6.011827254</v>
      </c>
    </row>
    <row r="56" ht="12.75" customHeight="1">
      <c r="B56" s="2"/>
      <c r="C56" s="3"/>
      <c r="E56" s="3"/>
      <c r="F56" s="3"/>
      <c r="H56" s="2" t="s">
        <v>8</v>
      </c>
      <c r="I56" s="3">
        <f t="shared" si="4"/>
        <v>18.68985099</v>
      </c>
      <c r="K56" s="3">
        <v>28.5725853036573</v>
      </c>
      <c r="L56" s="3">
        <f t="shared" si="5"/>
        <v>8.920647523</v>
      </c>
      <c r="M56" s="7">
        <f t="shared" si="6"/>
        <v>5.150338249</v>
      </c>
      <c r="O56" s="8" t="s">
        <v>23</v>
      </c>
      <c r="P56" s="9">
        <f t="shared" ref="P56:Q56" si="7">AVERAGE(P45:P51)</f>
        <v>-67.25473349</v>
      </c>
      <c r="Q56" s="9">
        <f t="shared" si="7"/>
        <v>137.6707633</v>
      </c>
    </row>
    <row r="57" ht="12.75" customHeight="1">
      <c r="B57" s="2"/>
      <c r="C57" s="3"/>
      <c r="E57" s="3"/>
      <c r="F57" s="3"/>
      <c r="H57" s="2" t="s">
        <v>21</v>
      </c>
      <c r="I57" s="3">
        <f t="shared" si="4"/>
        <v>27.41589318</v>
      </c>
      <c r="K57" s="3">
        <v>23.5197007651978</v>
      </c>
      <c r="L57" s="3">
        <f t="shared" si="5"/>
        <v>2.595194958</v>
      </c>
      <c r="M57" s="7">
        <f t="shared" si="6"/>
        <v>1.498336508</v>
      </c>
      <c r="O57" s="8" t="s">
        <v>24</v>
      </c>
      <c r="P57" s="9">
        <f t="shared" ref="P57:Q57" si="8">STDEV(P45:P51)</f>
        <v>4.394776049</v>
      </c>
      <c r="Q57" s="9">
        <f t="shared" si="8"/>
        <v>6.316921908</v>
      </c>
    </row>
    <row r="58" ht="12.75" customHeight="1">
      <c r="B58" s="2"/>
      <c r="C58" s="3"/>
      <c r="E58" s="3"/>
      <c r="F58" s="3"/>
      <c r="H58" s="2" t="s">
        <v>7</v>
      </c>
      <c r="I58" s="3">
        <f t="shared" si="4"/>
        <v>38.95813107</v>
      </c>
      <c r="K58" s="3">
        <v>37.2134884914141</v>
      </c>
      <c r="L58" s="3">
        <f t="shared" si="5"/>
        <v>3.33144661</v>
      </c>
      <c r="M58" s="7">
        <f t="shared" si="6"/>
        <v>1.923411597</v>
      </c>
    </row>
    <row r="59" ht="12.75" customHeight="1">
      <c r="B59" s="2"/>
      <c r="C59" s="3"/>
      <c r="E59" s="3"/>
      <c r="F59" s="3"/>
      <c r="H59" s="2" t="s">
        <v>8</v>
      </c>
      <c r="I59" s="3">
        <f t="shared" si="4"/>
        <v>31.73282312</v>
      </c>
      <c r="K59" s="3">
        <v>11.9191067816356</v>
      </c>
      <c r="L59" s="3">
        <f t="shared" si="5"/>
        <v>2.600816033</v>
      </c>
      <c r="M59" s="7">
        <f t="shared" si="6"/>
        <v>1.501581837</v>
      </c>
    </row>
    <row r="60" ht="12.75" customHeight="1">
      <c r="B60" s="2"/>
      <c r="C60" s="3"/>
      <c r="E60" s="3"/>
      <c r="F60" s="3"/>
      <c r="H60" s="2" t="s">
        <v>21</v>
      </c>
      <c r="I60" s="3">
        <f t="shared" si="4"/>
        <v>24.5336109</v>
      </c>
      <c r="K60" s="3">
        <v>20.3649551665633</v>
      </c>
      <c r="L60" s="3">
        <f t="shared" si="5"/>
        <v>13.21260349</v>
      </c>
      <c r="M60" s="7">
        <f t="shared" si="6"/>
        <v>7.628300181</v>
      </c>
    </row>
    <row r="61" ht="12.75" customHeight="1">
      <c r="B61" s="2"/>
      <c r="C61" s="3"/>
      <c r="E61" s="3"/>
      <c r="F61" s="3"/>
      <c r="H61" s="2" t="s">
        <v>7</v>
      </c>
      <c r="I61" s="3">
        <f t="shared" si="4"/>
        <v>40.50638087</v>
      </c>
      <c r="K61" s="3">
        <v>40.0484967013321</v>
      </c>
      <c r="L61" s="3">
        <f t="shared" si="5"/>
        <v>6.388653638</v>
      </c>
      <c r="M61" s="7">
        <f t="shared" si="6"/>
        <v>3.688490897</v>
      </c>
    </row>
    <row r="62" ht="12.75" customHeight="1">
      <c r="B62" s="2"/>
      <c r="C62" s="3"/>
      <c r="E62" s="3"/>
      <c r="F62" s="3"/>
      <c r="H62" s="2" t="s">
        <v>8</v>
      </c>
      <c r="I62" s="3">
        <f t="shared" si="4"/>
        <v>25.24280861</v>
      </c>
      <c r="K62" s="3">
        <v>16.7315769858946</v>
      </c>
      <c r="L62" s="3">
        <f t="shared" si="5"/>
        <v>3.496513475</v>
      </c>
      <c r="M62" s="7">
        <f t="shared" si="6"/>
        <v>2.018712996</v>
      </c>
    </row>
    <row r="63" ht="12.75" customHeight="1">
      <c r="B63" s="2"/>
      <c r="C63" s="3"/>
      <c r="E63" s="3"/>
      <c r="F63" s="3"/>
      <c r="H63" s="2" t="s">
        <v>21</v>
      </c>
      <c r="I63" s="3">
        <f t="shared" si="4"/>
        <v>19.83253579</v>
      </c>
      <c r="K63" s="3">
        <v>20.2258515382697</v>
      </c>
      <c r="L63" s="3">
        <f t="shared" si="5"/>
        <v>14.92000082</v>
      </c>
      <c r="M63" s="7">
        <f t="shared" si="6"/>
        <v>8.61406649</v>
      </c>
    </row>
    <row r="64" ht="12.75" customHeight="1">
      <c r="B64" s="2"/>
      <c r="C64" s="3"/>
      <c r="E64" s="3"/>
      <c r="F64" s="3"/>
      <c r="H64" s="2" t="s">
        <v>7</v>
      </c>
      <c r="I64" s="3">
        <f t="shared" si="4"/>
        <v>43.59255577</v>
      </c>
      <c r="K64" s="3">
        <v>44.224801317219</v>
      </c>
      <c r="L64" s="3">
        <f t="shared" si="5"/>
        <v>9.599010182</v>
      </c>
      <c r="M64" s="7">
        <f t="shared" si="6"/>
        <v>5.541991113</v>
      </c>
    </row>
    <row r="65" ht="12.75" customHeight="1">
      <c r="B65" s="2"/>
      <c r="C65" s="3"/>
      <c r="E65" s="3"/>
      <c r="F65" s="3"/>
      <c r="H65" s="2" t="s">
        <v>8</v>
      </c>
      <c r="I65" s="3">
        <f t="shared" si="4"/>
        <v>24.48531377</v>
      </c>
      <c r="K65" s="3">
        <v>27.831895011319</v>
      </c>
      <c r="L65" s="3">
        <f t="shared" si="5"/>
        <v>5.352043415</v>
      </c>
      <c r="M65" s="7">
        <f t="shared" si="6"/>
        <v>3.090003707</v>
      </c>
    </row>
    <row r="66" ht="12.75" customHeight="1">
      <c r="B66" s="2"/>
      <c r="C66" s="3"/>
      <c r="E66" s="3"/>
      <c r="F66" s="3"/>
      <c r="H66" s="2" t="s">
        <v>21</v>
      </c>
      <c r="I66" s="3">
        <f t="shared" si="4"/>
        <v>27.18798365</v>
      </c>
      <c r="K66" s="3">
        <v>19.3644280431731</v>
      </c>
      <c r="L66" s="3">
        <f t="shared" si="5"/>
        <v>6.105899603</v>
      </c>
      <c r="M66" s="7">
        <f t="shared" si="6"/>
        <v>3.525242779</v>
      </c>
    </row>
    <row r="67" ht="12.75" customHeight="1">
      <c r="B67" s="2"/>
      <c r="C67" s="3"/>
      <c r="E67" s="3"/>
      <c r="F67" s="3"/>
      <c r="H67" s="2" t="s">
        <v>7</v>
      </c>
      <c r="I67" s="3">
        <f t="shared" si="4"/>
        <v>31.80980639</v>
      </c>
      <c r="K67" s="3">
        <v>28.0442308969247</v>
      </c>
      <c r="L67" s="3">
        <f t="shared" si="5"/>
        <v>5.541861177</v>
      </c>
      <c r="M67" s="7">
        <f t="shared" si="6"/>
        <v>3.199595042</v>
      </c>
    </row>
    <row r="68" ht="12.75" customHeight="1">
      <c r="B68" s="2"/>
      <c r="C68" s="3"/>
      <c r="E68" s="3"/>
      <c r="F68" s="3"/>
      <c r="H68" s="2" t="s">
        <v>15</v>
      </c>
      <c r="I68" s="3">
        <f t="shared" si="4"/>
        <v>16.33807738</v>
      </c>
      <c r="K68" s="3">
        <v>6.61335906879207</v>
      </c>
      <c r="L68" s="3">
        <f t="shared" si="5"/>
        <v>4.709478452</v>
      </c>
      <c r="M68" s="7">
        <f t="shared" si="6"/>
        <v>2.719018652</v>
      </c>
    </row>
    <row r="69" ht="12.75" customHeight="1">
      <c r="B69" s="2"/>
      <c r="C69" s="3"/>
      <c r="E69" s="3"/>
      <c r="F69" s="3"/>
      <c r="H69" s="2" t="s">
        <v>21</v>
      </c>
      <c r="I69" s="3">
        <f t="shared" si="4"/>
        <v>14.43769372</v>
      </c>
      <c r="K69" s="3">
        <v>21.3159853587223</v>
      </c>
      <c r="L69" s="3">
        <f t="shared" si="5"/>
        <v>1.440149563</v>
      </c>
      <c r="M69" s="7">
        <f t="shared" si="6"/>
        <v>0.8314707376</v>
      </c>
    </row>
    <row r="70" ht="12.75" customHeight="1">
      <c r="B70" s="2"/>
      <c r="C70" s="3"/>
      <c r="E70" s="3"/>
      <c r="F70" s="3"/>
      <c r="H70" s="2" t="s">
        <v>7</v>
      </c>
      <c r="I70" s="3">
        <f t="shared" si="4"/>
        <v>34.16163673</v>
      </c>
      <c r="K70" s="3">
        <v>38.9588444997717</v>
      </c>
      <c r="L70" s="3">
        <f t="shared" si="5"/>
        <v>7.401994158</v>
      </c>
      <c r="M70" s="7">
        <f t="shared" si="6"/>
        <v>4.27354332</v>
      </c>
    </row>
    <row r="71" ht="12.75" customHeight="1">
      <c r="B71" s="2"/>
      <c r="C71" s="3"/>
      <c r="E71" s="3"/>
      <c r="F71" s="3"/>
      <c r="H71" s="2" t="s">
        <v>15</v>
      </c>
      <c r="I71" s="3">
        <f t="shared" si="4"/>
        <v>22.4170525</v>
      </c>
      <c r="K71" s="3">
        <v>8.94112399638795</v>
      </c>
      <c r="L71" s="3">
        <f t="shared" si="5"/>
        <v>6.557780152</v>
      </c>
      <c r="M71" s="7">
        <f t="shared" si="6"/>
        <v>3.786136136</v>
      </c>
    </row>
    <row r="72" ht="12.75" customHeight="1">
      <c r="B72" s="2"/>
      <c r="C72" s="3"/>
      <c r="E72" s="3"/>
      <c r="F72" s="3"/>
      <c r="H72" s="2" t="s">
        <v>21</v>
      </c>
      <c r="I72" s="3">
        <f t="shared" si="4"/>
        <v>18.33691791</v>
      </c>
      <c r="K72" s="3">
        <v>19.9920196254413</v>
      </c>
      <c r="L72" s="3">
        <f t="shared" si="5"/>
        <v>9.132492761</v>
      </c>
      <c r="M72" s="7">
        <f t="shared" si="6"/>
        <v>5.272647154</v>
      </c>
    </row>
    <row r="73" ht="12.75" customHeight="1">
      <c r="B73" s="2"/>
      <c r="C73" s="3"/>
      <c r="E73" s="3"/>
      <c r="F73" s="3"/>
      <c r="H73" s="2" t="s">
        <v>7</v>
      </c>
      <c r="I73" s="3">
        <f t="shared" si="4"/>
        <v>50.47428779</v>
      </c>
      <c r="K73" s="3">
        <v>51.7827994777754</v>
      </c>
      <c r="L73" s="3">
        <f t="shared" si="5"/>
        <v>1.672359967</v>
      </c>
      <c r="M73" s="7">
        <f t="shared" si="6"/>
        <v>0.9655374771</v>
      </c>
    </row>
    <row r="74" ht="12.75" customHeight="1">
      <c r="B74" s="2"/>
      <c r="C74" s="3"/>
      <c r="E74" s="3"/>
      <c r="F74" s="3"/>
      <c r="H74" s="2" t="s">
        <v>15</v>
      </c>
      <c r="I74" s="3">
        <f t="shared" si="4"/>
        <v>10.16090512</v>
      </c>
      <c r="K74" s="3">
        <v>59.3300387748468</v>
      </c>
      <c r="L74" s="3">
        <f t="shared" si="5"/>
        <v>4.270014918</v>
      </c>
      <c r="M74" s="7">
        <f t="shared" si="6"/>
        <v>2.465294262</v>
      </c>
    </row>
    <row r="75" ht="12.75" customHeight="1">
      <c r="B75" s="2"/>
      <c r="C75" s="3"/>
      <c r="E75" s="3"/>
      <c r="F75" s="3"/>
      <c r="H75" s="2" t="s">
        <v>21</v>
      </c>
      <c r="I75" s="3">
        <f t="shared" si="4"/>
        <v>21.80786154</v>
      </c>
      <c r="K75" s="3">
        <v>22.9014463636111</v>
      </c>
      <c r="L75" s="3">
        <f t="shared" si="5"/>
        <v>3.061165479</v>
      </c>
      <c r="M75" s="7">
        <f t="shared" si="6"/>
        <v>1.767364713</v>
      </c>
    </row>
    <row r="76" ht="12.75" customHeight="1">
      <c r="B76" s="2"/>
      <c r="C76" s="3"/>
      <c r="E76" s="3"/>
      <c r="F76" s="3"/>
      <c r="H76" s="2" t="s">
        <v>7</v>
      </c>
      <c r="I76" s="3">
        <f t="shared" si="4"/>
        <v>39.2077937</v>
      </c>
      <c r="K76" s="3">
        <v>34.0287181021842</v>
      </c>
      <c r="L76" s="3">
        <f t="shared" si="5"/>
        <v>14.0993364</v>
      </c>
      <c r="M76" s="7">
        <f t="shared" si="6"/>
        <v>8.140255667</v>
      </c>
    </row>
    <row r="77" ht="12.75" customHeight="1">
      <c r="B77" s="2"/>
      <c r="C77" s="3"/>
      <c r="E77" s="3"/>
      <c r="F77" s="3"/>
      <c r="H77" s="2" t="s">
        <v>15</v>
      </c>
      <c r="I77" s="3">
        <f t="shared" si="4"/>
        <v>13.53471803</v>
      </c>
      <c r="K77" s="3">
        <v>26.679687426085</v>
      </c>
      <c r="L77" s="3">
        <f t="shared" si="5"/>
        <v>1.905704784</v>
      </c>
      <c r="M77" s="7">
        <f t="shared" si="6"/>
        <v>1.10025917</v>
      </c>
    </row>
    <row r="78" ht="12.75" customHeight="1">
      <c r="B78" s="2"/>
      <c r="C78" s="3"/>
      <c r="E78" s="3"/>
      <c r="F78" s="3"/>
      <c r="H78" s="2" t="s">
        <v>21</v>
      </c>
      <c r="I78" s="3">
        <f t="shared" si="4"/>
        <v>22.82654632</v>
      </c>
      <c r="K78" s="3">
        <v>15.0779795444002</v>
      </c>
      <c r="L78" s="3">
        <f t="shared" si="5"/>
        <v>9.31467793</v>
      </c>
      <c r="M78" s="7">
        <f t="shared" si="6"/>
        <v>5.37783181</v>
      </c>
    </row>
    <row r="79" ht="12.75" customHeight="1">
      <c r="B79" s="2"/>
      <c r="C79" s="3"/>
      <c r="E79" s="3"/>
      <c r="F79" s="3"/>
      <c r="H79" s="2" t="s">
        <v>7</v>
      </c>
      <c r="I79" s="3">
        <f t="shared" si="4"/>
        <v>172.1803284</v>
      </c>
      <c r="K79" s="3">
        <v>142.553857431584</v>
      </c>
      <c r="L79" s="3">
        <f t="shared" si="5"/>
        <v>30.04504128</v>
      </c>
      <c r="M79" s="7">
        <f t="shared" si="6"/>
        <v>17.34651267</v>
      </c>
    </row>
    <row r="80" ht="12.75" customHeight="1"/>
    <row r="81" ht="12.75" customHeight="1">
      <c r="H81" s="8" t="s">
        <v>25</v>
      </c>
      <c r="I81" s="8" t="s">
        <v>26</v>
      </c>
      <c r="J81" s="8" t="s">
        <v>27</v>
      </c>
      <c r="L81" s="8" t="s">
        <v>28</v>
      </c>
      <c r="M81" s="8" t="s">
        <v>29</v>
      </c>
    </row>
    <row r="82" ht="12.75" customHeight="1">
      <c r="D82" s="7"/>
      <c r="F82" s="7"/>
      <c r="H82" s="8">
        <v>0.0</v>
      </c>
      <c r="I82" s="10">
        <v>0.0</v>
      </c>
      <c r="J82" s="7">
        <f>I82/I103</f>
        <v>0</v>
      </c>
      <c r="L82" s="7">
        <f>SUMPRODUCT(H82:H102, J82:J102) / SUM(J82:J102)</f>
        <v>45</v>
      </c>
      <c r="M82" s="7">
        <f>SQRT(SUMPRODUCT(J82:J102, (H82:H102 - $L$82)^2) / SUM(J82:J102)
)</f>
        <v>36.90314492</v>
      </c>
    </row>
    <row r="83" ht="12.75" customHeight="1">
      <c r="D83" s="7"/>
      <c r="H83" s="8">
        <v>10.0</v>
      </c>
      <c r="I83" s="10">
        <v>1.0</v>
      </c>
      <c r="J83" s="7">
        <f>I83/I103</f>
        <v>0.02631578947</v>
      </c>
    </row>
    <row r="84" ht="12.75" customHeight="1">
      <c r="D84" s="7"/>
      <c r="H84" s="8">
        <v>20.0</v>
      </c>
      <c r="I84" s="10">
        <v>10.0</v>
      </c>
      <c r="J84" s="7">
        <f>I84/I103</f>
        <v>0.2631578947</v>
      </c>
    </row>
    <row r="85" ht="12.75" customHeight="1">
      <c r="D85" s="7"/>
      <c r="H85" s="8">
        <v>30.0</v>
      </c>
      <c r="I85" s="10">
        <v>8.0</v>
      </c>
      <c r="J85" s="7">
        <f>I85/I103</f>
        <v>0.2105263158</v>
      </c>
    </row>
    <row r="86" ht="12.75" customHeight="1">
      <c r="D86" s="7"/>
      <c r="H86" s="8">
        <v>40.0</v>
      </c>
      <c r="I86" s="10">
        <v>9.0</v>
      </c>
      <c r="J86" s="7">
        <f>I86/I103</f>
        <v>0.2368421053</v>
      </c>
    </row>
    <row r="87" ht="12.75" customHeight="1">
      <c r="D87" s="7"/>
      <c r="H87" s="8">
        <v>50.0</v>
      </c>
      <c r="I87" s="10">
        <v>2.0</v>
      </c>
      <c r="J87" s="7">
        <f>I87/I103</f>
        <v>0.05263157895</v>
      </c>
    </row>
    <row r="88" ht="12.75" customHeight="1">
      <c r="D88" s="7"/>
      <c r="H88" s="8">
        <v>60.0</v>
      </c>
      <c r="I88" s="10">
        <v>2.0</v>
      </c>
      <c r="J88" s="7">
        <f>I88/I103</f>
        <v>0.05263157895</v>
      </c>
    </row>
    <row r="89" ht="12.75" customHeight="1">
      <c r="D89" s="7"/>
      <c r="H89" s="8">
        <v>70.0</v>
      </c>
      <c r="I89" s="10">
        <v>2.0</v>
      </c>
      <c r="J89" s="7">
        <f>I89/I103</f>
        <v>0.05263157895</v>
      </c>
    </row>
    <row r="90" ht="12.75" customHeight="1">
      <c r="D90" s="7"/>
      <c r="H90" s="8">
        <v>80.0</v>
      </c>
      <c r="I90" s="10">
        <v>0.0</v>
      </c>
      <c r="J90" s="7">
        <f>I90/I103</f>
        <v>0</v>
      </c>
    </row>
    <row r="91" ht="12.75" customHeight="1">
      <c r="D91" s="7"/>
      <c r="H91" s="8">
        <v>90.0</v>
      </c>
      <c r="I91" s="10">
        <v>2.0</v>
      </c>
      <c r="J91" s="7">
        <f>I91/I103</f>
        <v>0.05263157895</v>
      </c>
    </row>
    <row r="92" ht="12.75" customHeight="1">
      <c r="D92" s="7"/>
      <c r="H92" s="8">
        <v>100.0</v>
      </c>
      <c r="I92" s="10">
        <v>0.0</v>
      </c>
      <c r="J92" s="7">
        <f>I92/I103</f>
        <v>0</v>
      </c>
    </row>
    <row r="93" ht="12.75" customHeight="1">
      <c r="D93" s="7"/>
      <c r="H93" s="8">
        <v>110.0</v>
      </c>
      <c r="I93" s="10">
        <v>0.0</v>
      </c>
      <c r="J93" s="7">
        <f>I93/I103</f>
        <v>0</v>
      </c>
    </row>
    <row r="94" ht="12.75" customHeight="1">
      <c r="D94" s="7"/>
      <c r="H94" s="8">
        <v>120.0</v>
      </c>
      <c r="I94" s="10">
        <v>0.0</v>
      </c>
      <c r="J94" s="7">
        <f>I94/I103</f>
        <v>0</v>
      </c>
    </row>
    <row r="95" ht="12.75" customHeight="1">
      <c r="D95" s="7"/>
      <c r="H95" s="8">
        <v>130.0</v>
      </c>
      <c r="I95" s="10">
        <v>0.0</v>
      </c>
      <c r="J95" s="7">
        <f>I95/I103</f>
        <v>0</v>
      </c>
    </row>
    <row r="96" ht="12.75" customHeight="1">
      <c r="D96" s="7"/>
      <c r="H96" s="8">
        <v>140.0</v>
      </c>
      <c r="I96" s="10">
        <v>0.0</v>
      </c>
      <c r="J96" s="7">
        <f>I96/I103</f>
        <v>0</v>
      </c>
    </row>
    <row r="97" ht="12.75" customHeight="1">
      <c r="D97" s="7"/>
      <c r="H97" s="8">
        <v>150.0</v>
      </c>
      <c r="I97" s="10">
        <v>0.0</v>
      </c>
      <c r="J97" s="7">
        <f>I97/I103</f>
        <v>0</v>
      </c>
    </row>
    <row r="98" ht="12.75" customHeight="1">
      <c r="D98" s="7"/>
      <c r="H98" s="8">
        <v>160.0</v>
      </c>
      <c r="I98" s="10">
        <v>0.0</v>
      </c>
      <c r="J98" s="7">
        <f>I98/I103</f>
        <v>0</v>
      </c>
    </row>
    <row r="99" ht="12.75" customHeight="1">
      <c r="D99" s="7"/>
      <c r="H99" s="8">
        <v>170.0</v>
      </c>
      <c r="I99" s="10">
        <v>0.0</v>
      </c>
      <c r="J99" s="7">
        <f>I99/I103</f>
        <v>0</v>
      </c>
    </row>
    <row r="100" ht="12.75" customHeight="1">
      <c r="D100" s="7"/>
      <c r="H100" s="8">
        <v>180.0</v>
      </c>
      <c r="I100" s="10">
        <v>2.0</v>
      </c>
      <c r="J100" s="7">
        <f>I100/I103</f>
        <v>0.05263157895</v>
      </c>
    </row>
    <row r="101" ht="12.75" customHeight="1">
      <c r="D101" s="7"/>
      <c r="H101" s="8">
        <v>190.0</v>
      </c>
      <c r="I101" s="10">
        <v>0.0</v>
      </c>
      <c r="J101" s="7">
        <f>I101/I103</f>
        <v>0</v>
      </c>
    </row>
    <row r="102" ht="12.75" customHeight="1">
      <c r="D102" s="7"/>
      <c r="H102" s="8">
        <v>200.0</v>
      </c>
      <c r="I102" s="10">
        <v>0.0</v>
      </c>
      <c r="J102" s="7">
        <f>I102/I103</f>
        <v>0</v>
      </c>
    </row>
    <row r="103" ht="12.75" customHeight="1">
      <c r="I103" s="8">
        <f t="shared" ref="I103:J103" si="9">SUM(I82:I102)</f>
        <v>38</v>
      </c>
      <c r="J103" s="9">
        <f t="shared" si="9"/>
        <v>1</v>
      </c>
    </row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Q125" s="1"/>
      <c r="R125" s="1"/>
    </row>
    <row r="126" ht="12.75" customHeight="1">
      <c r="A126" s="2"/>
      <c r="B126" s="2"/>
      <c r="C126" s="2"/>
      <c r="D126" s="7"/>
      <c r="F126" s="2"/>
      <c r="G126" s="2"/>
      <c r="H126" s="2"/>
      <c r="I126" s="3"/>
      <c r="J126" s="2"/>
      <c r="K126" s="2"/>
      <c r="L126" s="2"/>
      <c r="M126" s="2"/>
      <c r="N126" s="3"/>
      <c r="O126" s="1"/>
      <c r="P126" s="1"/>
      <c r="Q126" s="1"/>
      <c r="R126" s="1"/>
    </row>
    <row r="127" ht="12.75" customHeight="1">
      <c r="A127" s="2"/>
      <c r="B127" s="2"/>
      <c r="C127" s="2"/>
      <c r="D127" s="7"/>
      <c r="F127" s="2"/>
      <c r="G127" s="2"/>
      <c r="H127" s="2"/>
      <c r="I127" s="3"/>
      <c r="J127" s="2"/>
      <c r="K127" s="2"/>
      <c r="L127" s="2"/>
      <c r="M127" s="2"/>
      <c r="N127" s="3"/>
      <c r="O127" s="4"/>
      <c r="P127" s="4"/>
    </row>
    <row r="128" ht="12.75" customHeight="1">
      <c r="A128" s="2"/>
      <c r="B128" s="2"/>
      <c r="C128" s="2"/>
      <c r="D128" s="7"/>
      <c r="F128" s="2"/>
      <c r="G128" s="2"/>
      <c r="H128" s="2"/>
      <c r="I128" s="3"/>
      <c r="J128" s="2"/>
      <c r="K128" s="2"/>
      <c r="L128" s="2"/>
      <c r="M128" s="2"/>
      <c r="N128" s="3"/>
      <c r="O128" s="4"/>
      <c r="P128" s="4"/>
    </row>
    <row r="129" ht="12.75" customHeight="1">
      <c r="A129" s="2"/>
      <c r="B129" s="2"/>
      <c r="C129" s="2"/>
      <c r="D129" s="7"/>
      <c r="F129" s="2"/>
      <c r="G129" s="2"/>
      <c r="H129" s="2"/>
      <c r="I129" s="3"/>
      <c r="J129" s="2"/>
      <c r="K129" s="2"/>
      <c r="L129" s="2"/>
      <c r="M129" s="2"/>
      <c r="N129" s="3"/>
      <c r="O129" s="4"/>
      <c r="P129" s="4"/>
    </row>
    <row r="130" ht="12.75" customHeight="1">
      <c r="A130" s="2"/>
      <c r="B130" s="2"/>
      <c r="C130" s="2"/>
      <c r="D130" s="7"/>
      <c r="F130" s="2"/>
      <c r="G130" s="2"/>
      <c r="H130" s="2"/>
      <c r="I130" s="3"/>
      <c r="J130" s="2"/>
      <c r="K130" s="2"/>
      <c r="L130" s="2"/>
      <c r="M130" s="2"/>
      <c r="N130" s="3"/>
      <c r="O130" s="4"/>
      <c r="P130" s="4"/>
    </row>
    <row r="131" ht="12.75" customHeight="1">
      <c r="A131" s="2"/>
      <c r="B131" s="2"/>
      <c r="C131" s="2"/>
      <c r="D131" s="7"/>
      <c r="F131" s="2"/>
      <c r="G131" s="2"/>
      <c r="H131" s="2"/>
      <c r="I131" s="3"/>
      <c r="J131" s="2"/>
      <c r="K131" s="2"/>
      <c r="L131" s="2"/>
      <c r="M131" s="2"/>
      <c r="N131" s="3"/>
      <c r="O131" s="4"/>
      <c r="P131" s="4"/>
    </row>
    <row r="132" ht="12.75" customHeight="1">
      <c r="A132" s="2"/>
      <c r="B132" s="2"/>
      <c r="C132" s="2"/>
      <c r="D132" s="7"/>
      <c r="F132" s="2"/>
      <c r="G132" s="2"/>
      <c r="H132" s="2"/>
      <c r="I132" s="3"/>
      <c r="J132" s="2"/>
      <c r="K132" s="2"/>
      <c r="L132" s="2"/>
      <c r="M132" s="2"/>
      <c r="N132" s="3"/>
      <c r="O132" s="4"/>
      <c r="P132" s="4"/>
    </row>
    <row r="133" ht="12.75" customHeight="1">
      <c r="A133" s="2"/>
      <c r="B133" s="2"/>
      <c r="C133" s="2"/>
      <c r="D133" s="7"/>
      <c r="F133" s="2"/>
      <c r="G133" s="2"/>
      <c r="H133" s="2"/>
      <c r="I133" s="3"/>
      <c r="J133" s="2"/>
      <c r="K133" s="2"/>
      <c r="L133" s="2"/>
      <c r="M133" s="2"/>
      <c r="N133" s="3"/>
      <c r="O133" s="4"/>
      <c r="P133" s="4"/>
    </row>
    <row r="134" ht="12.75" customHeight="1">
      <c r="A134" s="2"/>
      <c r="B134" s="2"/>
      <c r="C134" s="5"/>
      <c r="D134" s="7"/>
      <c r="F134" s="2"/>
      <c r="G134" s="2"/>
      <c r="H134" s="2"/>
      <c r="I134" s="3"/>
      <c r="J134" s="2"/>
      <c r="K134" s="2"/>
      <c r="L134" s="2"/>
      <c r="M134" s="2"/>
      <c r="N134" s="3"/>
      <c r="O134" s="4"/>
      <c r="P134" s="4"/>
    </row>
    <row r="135" ht="12.75" customHeight="1">
      <c r="A135" s="2"/>
      <c r="B135" s="2"/>
      <c r="C135" s="2"/>
      <c r="D135" s="7"/>
      <c r="F135" s="2"/>
      <c r="G135" s="2"/>
      <c r="H135" s="2"/>
      <c r="I135" s="3"/>
      <c r="J135" s="2"/>
      <c r="K135" s="2"/>
      <c r="L135" s="2"/>
      <c r="M135" s="2"/>
      <c r="N135" s="3"/>
      <c r="O135" s="4"/>
      <c r="P135" s="4"/>
    </row>
    <row r="136" ht="12.75" customHeight="1">
      <c r="A136" s="2"/>
      <c r="B136" s="2"/>
      <c r="C136" s="2"/>
      <c r="D136" s="7"/>
      <c r="F136" s="2"/>
      <c r="G136" s="2"/>
      <c r="H136" s="2"/>
      <c r="I136" s="3"/>
      <c r="J136" s="2"/>
      <c r="K136" s="2"/>
      <c r="L136" s="2"/>
      <c r="M136" s="2"/>
      <c r="N136" s="3"/>
      <c r="O136" s="4"/>
      <c r="P136" s="4"/>
    </row>
    <row r="137" ht="12.75" customHeight="1">
      <c r="A137" s="2"/>
      <c r="B137" s="2"/>
      <c r="C137" s="2"/>
      <c r="D137" s="7"/>
      <c r="F137" s="2"/>
      <c r="G137" s="2"/>
      <c r="H137" s="2"/>
      <c r="I137" s="3"/>
      <c r="J137" s="2"/>
      <c r="K137" s="2"/>
      <c r="L137" s="2"/>
      <c r="M137" s="2"/>
      <c r="N137" s="3"/>
      <c r="O137" s="4"/>
      <c r="P137" s="4"/>
    </row>
    <row r="138" ht="12.75" customHeight="1">
      <c r="A138" s="2"/>
      <c r="B138" s="2"/>
      <c r="C138" s="2"/>
      <c r="D138" s="7"/>
      <c r="F138" s="2"/>
      <c r="G138" s="2"/>
      <c r="H138" s="2"/>
      <c r="I138" s="3"/>
      <c r="J138" s="2"/>
      <c r="K138" s="2"/>
      <c r="L138" s="2"/>
      <c r="M138" s="2"/>
      <c r="N138" s="3"/>
      <c r="O138" s="4"/>
      <c r="P138" s="4"/>
    </row>
    <row r="139" ht="12.75" customHeight="1">
      <c r="A139" s="2"/>
      <c r="B139" s="2"/>
      <c r="C139" s="5"/>
      <c r="D139" s="7"/>
      <c r="F139" s="2"/>
      <c r="G139" s="2"/>
      <c r="H139" s="2"/>
      <c r="I139" s="3"/>
      <c r="J139" s="2"/>
      <c r="K139" s="2"/>
      <c r="L139" s="2"/>
      <c r="M139" s="2"/>
      <c r="N139" s="3"/>
      <c r="O139" s="4"/>
      <c r="P139" s="4"/>
    </row>
    <row r="140" ht="12.75" customHeight="1">
      <c r="A140" s="2"/>
      <c r="B140" s="2"/>
      <c r="C140" s="2"/>
      <c r="D140" s="7"/>
      <c r="F140" s="2"/>
      <c r="G140" s="2"/>
      <c r="H140" s="2"/>
      <c r="I140" s="3"/>
      <c r="J140" s="2"/>
      <c r="K140" s="2"/>
      <c r="L140" s="2"/>
      <c r="M140" s="2"/>
      <c r="N140" s="3"/>
      <c r="O140" s="4"/>
      <c r="P140" s="4"/>
    </row>
    <row r="141" ht="12.75" customHeight="1">
      <c r="A141" s="2"/>
      <c r="B141" s="2"/>
      <c r="C141" s="2"/>
      <c r="D141" s="7"/>
      <c r="F141" s="2"/>
      <c r="G141" s="2"/>
      <c r="H141" s="2"/>
      <c r="I141" s="3"/>
      <c r="J141" s="2"/>
      <c r="K141" s="2"/>
      <c r="L141" s="2"/>
      <c r="M141" s="2"/>
      <c r="N141" s="3"/>
      <c r="O141" s="4"/>
      <c r="P141" s="4"/>
    </row>
    <row r="142" ht="12.75" customHeight="1">
      <c r="A142" s="2"/>
      <c r="B142" s="2"/>
      <c r="C142" s="2"/>
      <c r="D142" s="7"/>
      <c r="F142" s="2"/>
      <c r="G142" s="2"/>
      <c r="H142" s="2"/>
      <c r="I142" s="3"/>
      <c r="J142" s="2"/>
      <c r="K142" s="2"/>
      <c r="L142" s="2"/>
      <c r="M142" s="2"/>
      <c r="N142" s="3"/>
      <c r="O142" s="4"/>
      <c r="P142" s="4"/>
    </row>
    <row r="143" ht="12.75" customHeight="1">
      <c r="A143" s="2"/>
      <c r="B143" s="2"/>
      <c r="C143" s="2"/>
      <c r="D143" s="7"/>
      <c r="F143" s="2"/>
      <c r="G143" s="2"/>
      <c r="H143" s="2"/>
      <c r="I143" s="3"/>
      <c r="J143" s="2"/>
      <c r="K143" s="2"/>
      <c r="L143" s="2"/>
      <c r="M143" s="2"/>
      <c r="N143" s="3"/>
      <c r="O143" s="4"/>
      <c r="P143" s="4"/>
    </row>
    <row r="144" ht="12.75" customHeight="1">
      <c r="A144" s="2"/>
      <c r="B144" s="2"/>
      <c r="C144" s="2"/>
      <c r="D144" s="7"/>
      <c r="F144" s="2"/>
      <c r="G144" s="2"/>
      <c r="H144" s="2"/>
      <c r="I144" s="3"/>
      <c r="J144" s="2"/>
      <c r="K144" s="2"/>
      <c r="L144" s="2"/>
      <c r="M144" s="2"/>
      <c r="N144" s="3"/>
      <c r="O144" s="4"/>
      <c r="P144" s="4"/>
    </row>
    <row r="145" ht="12.75" customHeight="1">
      <c r="A145" s="2"/>
      <c r="B145" s="2"/>
      <c r="C145" s="2"/>
      <c r="D145" s="7"/>
      <c r="F145" s="2"/>
      <c r="G145" s="2"/>
      <c r="H145" s="2"/>
      <c r="I145" s="3"/>
      <c r="J145" s="2"/>
      <c r="K145" s="2"/>
      <c r="L145" s="2"/>
      <c r="M145" s="2"/>
      <c r="N145" s="3"/>
      <c r="O145" s="4"/>
      <c r="P145" s="4"/>
    </row>
    <row r="146" ht="12.75" customHeight="1">
      <c r="A146" s="2"/>
      <c r="B146" s="2"/>
      <c r="C146" s="2"/>
      <c r="D146" s="7"/>
      <c r="F146" s="2"/>
      <c r="G146" s="2"/>
      <c r="H146" s="2"/>
      <c r="I146" s="3"/>
      <c r="J146" s="2"/>
      <c r="K146" s="2"/>
      <c r="L146" s="2"/>
      <c r="M146" s="2"/>
      <c r="N146" s="3"/>
      <c r="O146" s="4"/>
      <c r="P146" s="4"/>
    </row>
    <row r="147" ht="12.75" customHeight="1">
      <c r="A147" s="2"/>
      <c r="B147" s="2"/>
      <c r="C147" s="2"/>
      <c r="D147" s="7"/>
      <c r="F147" s="2"/>
      <c r="G147" s="2"/>
      <c r="H147" s="2"/>
      <c r="I147" s="3"/>
      <c r="J147" s="2"/>
      <c r="K147" s="2"/>
      <c r="L147" s="2"/>
      <c r="M147" s="2"/>
      <c r="N147" s="3"/>
      <c r="O147" s="4"/>
      <c r="P147" s="4"/>
    </row>
    <row r="148" ht="12.75" customHeight="1">
      <c r="A148" s="2"/>
      <c r="B148" s="2"/>
      <c r="C148" s="2"/>
      <c r="D148" s="7"/>
      <c r="F148" s="2"/>
      <c r="G148" s="2"/>
      <c r="H148" s="2"/>
      <c r="I148" s="3"/>
      <c r="J148" s="2"/>
      <c r="K148" s="2"/>
      <c r="L148" s="2"/>
      <c r="M148" s="2"/>
      <c r="N148" s="3"/>
      <c r="O148" s="4"/>
      <c r="P148" s="4"/>
    </row>
    <row r="149" ht="12.75" customHeight="1">
      <c r="A149" s="2"/>
      <c r="B149" s="2"/>
      <c r="C149" s="2"/>
      <c r="D149" s="7"/>
      <c r="F149" s="2"/>
      <c r="G149" s="2"/>
      <c r="H149" s="2"/>
      <c r="I149" s="3"/>
      <c r="J149" s="2"/>
      <c r="K149" s="2"/>
      <c r="L149" s="2"/>
      <c r="M149" s="2"/>
      <c r="N149" s="3"/>
      <c r="O149" s="4"/>
      <c r="P149" s="4"/>
    </row>
    <row r="150" ht="12.75" customHeight="1">
      <c r="A150" s="2"/>
      <c r="B150" s="2"/>
      <c r="C150" s="2"/>
      <c r="D150" s="7"/>
      <c r="F150" s="2"/>
      <c r="G150" s="2"/>
      <c r="H150" s="2"/>
      <c r="I150" s="3"/>
      <c r="J150" s="2"/>
      <c r="K150" s="2"/>
      <c r="L150" s="2"/>
      <c r="M150" s="2"/>
      <c r="N150" s="3"/>
      <c r="O150" s="4"/>
      <c r="P150" s="4"/>
    </row>
    <row r="151" ht="12.75" customHeight="1">
      <c r="A151" s="2"/>
      <c r="B151" s="2"/>
      <c r="C151" s="2"/>
      <c r="D151" s="7"/>
      <c r="F151" s="2"/>
      <c r="G151" s="2"/>
      <c r="H151" s="2"/>
      <c r="I151" s="3"/>
      <c r="J151" s="2"/>
      <c r="K151" s="2"/>
      <c r="L151" s="2"/>
      <c r="M151" s="2"/>
      <c r="N151" s="3"/>
      <c r="O151" s="4"/>
      <c r="P151" s="4"/>
    </row>
    <row r="152" ht="12.75" customHeight="1">
      <c r="A152" s="2"/>
      <c r="B152" s="2"/>
      <c r="C152" s="2"/>
      <c r="D152" s="7"/>
      <c r="F152" s="2"/>
      <c r="G152" s="2"/>
      <c r="H152" s="2"/>
      <c r="I152" s="3"/>
      <c r="J152" s="2"/>
      <c r="K152" s="2"/>
      <c r="L152" s="2"/>
      <c r="M152" s="2"/>
      <c r="N152" s="3"/>
      <c r="O152" s="4"/>
      <c r="P152" s="4"/>
    </row>
    <row r="153" ht="12.75" customHeight="1">
      <c r="A153" s="2"/>
      <c r="B153" s="2"/>
      <c r="C153" s="2"/>
      <c r="D153" s="7"/>
      <c r="F153" s="2"/>
      <c r="G153" s="2"/>
      <c r="H153" s="2"/>
      <c r="I153" s="3"/>
      <c r="J153" s="2"/>
      <c r="K153" s="2"/>
      <c r="L153" s="2"/>
      <c r="M153" s="2"/>
      <c r="N153" s="3"/>
      <c r="O153" s="4"/>
      <c r="P153" s="4"/>
    </row>
    <row r="154" ht="12.75" customHeight="1">
      <c r="A154" s="2"/>
      <c r="B154" s="2"/>
      <c r="C154" s="2"/>
      <c r="D154" s="7"/>
      <c r="F154" s="2"/>
      <c r="G154" s="2"/>
      <c r="H154" s="2"/>
      <c r="I154" s="3"/>
      <c r="J154" s="2"/>
      <c r="K154" s="2"/>
      <c r="L154" s="2"/>
      <c r="M154" s="2"/>
      <c r="N154" s="3"/>
      <c r="O154" s="4"/>
      <c r="P154" s="4"/>
    </row>
    <row r="155" ht="12.75" customHeight="1">
      <c r="A155" s="2"/>
      <c r="B155" s="2"/>
      <c r="C155" s="2"/>
      <c r="D155" s="7"/>
      <c r="F155" s="2"/>
      <c r="G155" s="2"/>
      <c r="H155" s="2"/>
      <c r="I155" s="3"/>
      <c r="J155" s="2"/>
      <c r="K155" s="2"/>
      <c r="L155" s="2"/>
      <c r="M155" s="2"/>
      <c r="N155" s="3"/>
      <c r="O155" s="4"/>
      <c r="P155" s="4"/>
    </row>
    <row r="156" ht="12.75" customHeight="1">
      <c r="A156" s="2"/>
      <c r="B156" s="2"/>
      <c r="C156" s="2"/>
      <c r="D156" s="7"/>
      <c r="F156" s="2"/>
      <c r="G156" s="2"/>
      <c r="H156" s="2"/>
      <c r="I156" s="3"/>
      <c r="J156" s="2"/>
      <c r="K156" s="2"/>
      <c r="L156" s="2"/>
      <c r="M156" s="2"/>
      <c r="N156" s="3"/>
      <c r="O156" s="4"/>
      <c r="P156" s="4"/>
    </row>
    <row r="157" ht="12.75" customHeight="1">
      <c r="A157" s="2"/>
      <c r="B157" s="2"/>
      <c r="C157" s="5"/>
      <c r="D157" s="7"/>
      <c r="F157" s="2"/>
      <c r="G157" s="2"/>
      <c r="H157" s="2"/>
      <c r="I157" s="3"/>
      <c r="J157" s="2"/>
      <c r="K157" s="2"/>
      <c r="L157" s="2"/>
      <c r="M157" s="2"/>
      <c r="N157" s="3"/>
      <c r="O157" s="4"/>
      <c r="P157" s="4"/>
    </row>
    <row r="158" ht="12.75" customHeight="1">
      <c r="A158" s="2"/>
      <c r="B158" s="2"/>
      <c r="C158" s="2"/>
      <c r="D158" s="7"/>
      <c r="F158" s="2"/>
      <c r="G158" s="2"/>
      <c r="H158" s="2"/>
      <c r="I158" s="3"/>
      <c r="J158" s="2"/>
      <c r="K158" s="2"/>
      <c r="L158" s="2"/>
      <c r="M158" s="2"/>
      <c r="N158" s="3"/>
      <c r="O158" s="4"/>
      <c r="P158" s="4"/>
    </row>
    <row r="159" ht="12.75" customHeight="1">
      <c r="A159" s="2"/>
      <c r="B159" s="2"/>
      <c r="C159" s="2"/>
      <c r="D159" s="7"/>
      <c r="F159" s="2"/>
      <c r="G159" s="2"/>
      <c r="H159" s="2"/>
      <c r="I159" s="3"/>
      <c r="J159" s="2"/>
      <c r="K159" s="2"/>
      <c r="L159" s="2"/>
      <c r="M159" s="2"/>
      <c r="N159" s="3"/>
      <c r="O159" s="4"/>
      <c r="P159" s="4"/>
    </row>
    <row r="160" ht="12.75" customHeight="1">
      <c r="A160" s="2"/>
      <c r="B160" s="2"/>
      <c r="C160" s="2"/>
      <c r="D160" s="7"/>
      <c r="F160" s="2"/>
      <c r="G160" s="2"/>
      <c r="H160" s="2"/>
      <c r="I160" s="3"/>
      <c r="J160" s="2"/>
      <c r="K160" s="2"/>
      <c r="L160" s="2"/>
      <c r="M160" s="2"/>
      <c r="N160" s="3"/>
      <c r="O160" s="4"/>
      <c r="P160" s="4"/>
    </row>
    <row r="161" ht="12.75" customHeight="1">
      <c r="A161" s="2"/>
      <c r="B161" s="2"/>
      <c r="C161" s="2"/>
      <c r="D161" s="7"/>
      <c r="F161" s="2"/>
      <c r="G161" s="2"/>
      <c r="H161" s="2"/>
      <c r="I161" s="3"/>
      <c r="J161" s="2"/>
      <c r="K161" s="2"/>
      <c r="L161" s="2"/>
      <c r="M161" s="2"/>
      <c r="N161" s="3"/>
      <c r="O161" s="4"/>
      <c r="P161" s="4"/>
    </row>
    <row r="162" ht="12.75" customHeight="1">
      <c r="A162" s="2"/>
      <c r="B162" s="2"/>
      <c r="C162" s="2"/>
      <c r="D162" s="7"/>
      <c r="F162" s="2"/>
      <c r="G162" s="2"/>
      <c r="H162" s="2"/>
      <c r="I162" s="3"/>
      <c r="J162" s="2"/>
      <c r="K162" s="2"/>
      <c r="L162" s="2"/>
      <c r="M162" s="2"/>
      <c r="N162" s="3"/>
      <c r="O162" s="4"/>
      <c r="P162" s="4"/>
    </row>
    <row r="163" ht="12.75" customHeight="1">
      <c r="A163" s="2"/>
      <c r="B163" s="2"/>
      <c r="C163" s="2"/>
      <c r="D163" s="7"/>
      <c r="F163" s="2"/>
      <c r="G163" s="2"/>
      <c r="H163" s="2"/>
      <c r="I163" s="3"/>
      <c r="J163" s="2"/>
      <c r="K163" s="2"/>
      <c r="L163" s="2"/>
      <c r="M163" s="2"/>
      <c r="N163" s="3"/>
      <c r="O163" s="4"/>
      <c r="P163" s="4"/>
    </row>
    <row r="164" ht="12.75" customHeight="1">
      <c r="O164" s="4"/>
      <c r="P164" s="4"/>
    </row>
    <row r="165" ht="12.75" customHeight="1">
      <c r="B165" s="1"/>
    </row>
    <row r="166" ht="12.75" customHeight="1">
      <c r="B166" s="2"/>
      <c r="C166" s="3"/>
      <c r="E166" s="3"/>
      <c r="F166" s="3"/>
      <c r="G166" s="7"/>
    </row>
    <row r="167" ht="12.75" customHeight="1">
      <c r="B167" s="2"/>
      <c r="C167" s="3"/>
      <c r="E167" s="3"/>
      <c r="F167" s="3"/>
      <c r="G167" s="7"/>
    </row>
    <row r="168" ht="12.75" customHeight="1">
      <c r="B168" s="2"/>
      <c r="C168" s="3"/>
      <c r="E168" s="3"/>
      <c r="F168" s="3"/>
      <c r="G168" s="7"/>
    </row>
    <row r="169" ht="12.75" customHeight="1">
      <c r="B169" s="2"/>
      <c r="C169" s="3"/>
      <c r="E169" s="3"/>
      <c r="F169" s="3"/>
      <c r="G169" s="7"/>
    </row>
    <row r="170" ht="12.75" customHeight="1">
      <c r="B170" s="2"/>
      <c r="C170" s="3"/>
      <c r="E170" s="3"/>
      <c r="F170" s="3"/>
      <c r="G170" s="7"/>
    </row>
    <row r="171" ht="12.75" customHeight="1">
      <c r="B171" s="2"/>
      <c r="C171" s="3"/>
      <c r="E171" s="3"/>
      <c r="F171" s="3"/>
      <c r="G171" s="7"/>
    </row>
    <row r="172" ht="12.75" customHeight="1">
      <c r="B172" s="2"/>
      <c r="C172" s="3"/>
      <c r="E172" s="3"/>
      <c r="F172" s="3"/>
      <c r="G172" s="7"/>
    </row>
    <row r="173" ht="12.75" customHeight="1">
      <c r="B173" s="2"/>
      <c r="C173" s="3"/>
      <c r="E173" s="3"/>
      <c r="F173" s="3"/>
      <c r="G173" s="7"/>
    </row>
    <row r="174" ht="12.75" customHeight="1">
      <c r="B174" s="2"/>
      <c r="C174" s="3"/>
      <c r="E174" s="3"/>
      <c r="F174" s="3"/>
      <c r="G174" s="7"/>
    </row>
    <row r="175" ht="12.75" customHeight="1">
      <c r="B175" s="2"/>
      <c r="C175" s="3"/>
      <c r="E175" s="3"/>
      <c r="F175" s="3"/>
      <c r="G175" s="7"/>
    </row>
    <row r="176" ht="12.75" customHeight="1">
      <c r="B176" s="2"/>
      <c r="C176" s="3"/>
      <c r="E176" s="3"/>
      <c r="F176" s="3"/>
      <c r="G176" s="7"/>
    </row>
    <row r="177" ht="12.75" customHeight="1">
      <c r="B177" s="2"/>
      <c r="C177" s="3"/>
      <c r="E177" s="3"/>
      <c r="F177" s="3"/>
      <c r="G177" s="7"/>
    </row>
    <row r="178" ht="12.75" customHeight="1">
      <c r="B178" s="2"/>
      <c r="C178" s="3"/>
      <c r="E178" s="3"/>
      <c r="F178" s="3"/>
      <c r="G178" s="7"/>
    </row>
    <row r="179" ht="12.75" customHeight="1">
      <c r="B179" s="2"/>
      <c r="C179" s="3"/>
      <c r="E179" s="3"/>
      <c r="F179" s="3"/>
      <c r="G179" s="7"/>
    </row>
    <row r="180" ht="12.75" customHeight="1">
      <c r="B180" s="2"/>
      <c r="C180" s="3"/>
      <c r="E180" s="3"/>
      <c r="F180" s="3"/>
      <c r="G180" s="7"/>
    </row>
    <row r="181" ht="12.75" customHeight="1">
      <c r="B181" s="2"/>
      <c r="C181" s="3"/>
      <c r="E181" s="3"/>
      <c r="F181" s="3"/>
      <c r="G181" s="7"/>
    </row>
    <row r="182" ht="12.75" customHeight="1">
      <c r="B182" s="2"/>
      <c r="C182" s="3"/>
      <c r="E182" s="3"/>
      <c r="F182" s="3"/>
      <c r="G182" s="7"/>
    </row>
    <row r="183" ht="12.75" customHeight="1">
      <c r="B183" s="2"/>
      <c r="C183" s="3"/>
      <c r="E183" s="3"/>
      <c r="F183" s="3"/>
      <c r="G183" s="7"/>
    </row>
    <row r="184" ht="12.75" customHeight="1">
      <c r="B184" s="2"/>
      <c r="C184" s="3"/>
      <c r="E184" s="3"/>
      <c r="F184" s="3"/>
      <c r="G184" s="7"/>
    </row>
    <row r="185" ht="12.75" customHeight="1">
      <c r="B185" s="2"/>
      <c r="C185" s="3"/>
      <c r="E185" s="3"/>
      <c r="F185" s="3"/>
      <c r="G185" s="7"/>
    </row>
    <row r="186" ht="12.75" customHeight="1">
      <c r="B186" s="2"/>
      <c r="C186" s="3"/>
      <c r="E186" s="3"/>
      <c r="F186" s="3"/>
      <c r="G186" s="7"/>
    </row>
    <row r="187" ht="12.75" customHeight="1">
      <c r="B187" s="2"/>
      <c r="C187" s="3"/>
      <c r="E187" s="3"/>
      <c r="F187" s="3"/>
      <c r="G187" s="7"/>
    </row>
    <row r="188" ht="12.75" customHeight="1">
      <c r="B188" s="2"/>
      <c r="C188" s="3"/>
      <c r="E188" s="3"/>
      <c r="F188" s="3"/>
      <c r="G188" s="7"/>
    </row>
    <row r="189" ht="12.75" customHeight="1">
      <c r="B189" s="2"/>
      <c r="C189" s="3"/>
      <c r="E189" s="3"/>
      <c r="F189" s="3"/>
      <c r="G189" s="7"/>
    </row>
    <row r="190" ht="12.75" customHeight="1">
      <c r="B190" s="2"/>
      <c r="C190" s="3"/>
      <c r="E190" s="3"/>
      <c r="F190" s="3"/>
      <c r="G190" s="7"/>
    </row>
    <row r="191" ht="12.75" customHeight="1">
      <c r="B191" s="2"/>
      <c r="C191" s="3"/>
      <c r="E191" s="3"/>
      <c r="F191" s="3"/>
      <c r="G191" s="7"/>
    </row>
    <row r="192" ht="12.75" customHeight="1">
      <c r="B192" s="2"/>
      <c r="C192" s="3"/>
      <c r="E192" s="3"/>
      <c r="F192" s="3"/>
      <c r="G192" s="7"/>
    </row>
    <row r="193" ht="12.75" customHeight="1">
      <c r="B193" s="2"/>
      <c r="C193" s="3"/>
      <c r="E193" s="3"/>
      <c r="F193" s="3"/>
      <c r="G193" s="7"/>
    </row>
    <row r="194" ht="12.75" customHeight="1">
      <c r="B194" s="2"/>
      <c r="C194" s="3"/>
      <c r="E194" s="3"/>
      <c r="F194" s="3"/>
      <c r="G194" s="7"/>
    </row>
    <row r="195" ht="12.75" customHeight="1">
      <c r="B195" s="2"/>
      <c r="C195" s="3"/>
      <c r="E195" s="3"/>
      <c r="F195" s="3"/>
      <c r="G195" s="7"/>
    </row>
    <row r="196" ht="12.75" customHeight="1">
      <c r="B196" s="2"/>
      <c r="C196" s="3"/>
      <c r="E196" s="3"/>
      <c r="F196" s="3"/>
      <c r="G196" s="7"/>
    </row>
    <row r="197" ht="12.75" customHeight="1">
      <c r="B197" s="2"/>
      <c r="C197" s="3"/>
      <c r="E197" s="3"/>
      <c r="F197" s="3"/>
      <c r="G197" s="7"/>
    </row>
    <row r="198" ht="12.75" customHeight="1">
      <c r="B198" s="2"/>
      <c r="C198" s="3"/>
      <c r="E198" s="3"/>
      <c r="F198" s="3"/>
      <c r="G198" s="7"/>
    </row>
    <row r="199" ht="12.75" customHeight="1">
      <c r="B199" s="2"/>
      <c r="C199" s="3"/>
      <c r="E199" s="3"/>
      <c r="F199" s="3"/>
      <c r="G199" s="7"/>
    </row>
    <row r="200" ht="12.75" customHeight="1">
      <c r="B200" s="2"/>
      <c r="C200" s="3"/>
      <c r="E200" s="3"/>
      <c r="F200" s="3"/>
      <c r="G200" s="7"/>
    </row>
    <row r="201" ht="12.75" customHeight="1">
      <c r="B201" s="2"/>
      <c r="C201" s="3"/>
      <c r="E201" s="3"/>
      <c r="F201" s="3"/>
      <c r="G201" s="7"/>
    </row>
    <row r="202" ht="12.75" customHeight="1">
      <c r="B202" s="2"/>
      <c r="C202" s="3"/>
      <c r="E202" s="3"/>
      <c r="F202" s="3"/>
      <c r="G202" s="7"/>
    </row>
    <row r="203" ht="12.75" customHeight="1">
      <c r="B203" s="2"/>
      <c r="C203" s="3"/>
      <c r="E203" s="3"/>
      <c r="F203" s="3"/>
      <c r="G203" s="7"/>
    </row>
    <row r="204" ht="12.75" customHeight="1"/>
    <row r="205" ht="12.75" customHeight="1"/>
    <row r="206" ht="12.75" customHeight="1">
      <c r="D206" s="7"/>
      <c r="F206" s="7"/>
      <c r="G206" s="7"/>
    </row>
    <row r="207" ht="12.75" customHeight="1">
      <c r="D207" s="7"/>
    </row>
    <row r="208" ht="12.75" customHeight="1">
      <c r="D208" s="7"/>
    </row>
    <row r="209" ht="12.75" customHeight="1">
      <c r="D209" s="7"/>
    </row>
    <row r="210" ht="12.75" customHeight="1">
      <c r="D210" s="7"/>
    </row>
    <row r="211" ht="12.75" customHeight="1">
      <c r="D211" s="7"/>
    </row>
    <row r="212" ht="12.75" customHeight="1">
      <c r="D212" s="7"/>
    </row>
    <row r="213" ht="12.75" customHeight="1">
      <c r="D213" s="7"/>
    </row>
    <row r="214" ht="12.75" customHeight="1">
      <c r="D214" s="7"/>
    </row>
    <row r="215" ht="12.75" customHeight="1">
      <c r="D215" s="7"/>
    </row>
    <row r="216" ht="12.75" customHeight="1">
      <c r="D216" s="7"/>
    </row>
    <row r="217" ht="12.75" customHeight="1">
      <c r="D217" s="7"/>
    </row>
    <row r="218" ht="12.75" customHeight="1">
      <c r="D218" s="7"/>
    </row>
    <row r="219" ht="12.75" customHeight="1">
      <c r="D219" s="7"/>
    </row>
    <row r="220" ht="12.75" customHeight="1">
      <c r="D220" s="7"/>
    </row>
    <row r="221" ht="12.75" customHeight="1">
      <c r="D221" s="7"/>
    </row>
    <row r="222" ht="12.75" customHeight="1">
      <c r="D222" s="7"/>
    </row>
    <row r="223" ht="12.75" customHeight="1">
      <c r="D223" s="7"/>
    </row>
    <row r="224" ht="12.75" customHeight="1">
      <c r="D224" s="7"/>
    </row>
    <row r="225" ht="12.75" customHeight="1">
      <c r="D225" s="7"/>
    </row>
    <row r="226" ht="12.75" customHeight="1">
      <c r="D226" s="7"/>
    </row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Q249" s="1"/>
      <c r="R249" s="1"/>
    </row>
    <row r="250" ht="12.75" customHeight="1">
      <c r="A250" s="2"/>
      <c r="B250" s="2"/>
      <c r="C250" s="2"/>
      <c r="D250" s="7"/>
      <c r="F250" s="2"/>
      <c r="G250" s="2"/>
      <c r="H250" s="2"/>
      <c r="I250" s="3"/>
      <c r="K250" s="2"/>
      <c r="L250" s="2"/>
      <c r="M250" s="2"/>
      <c r="N250" s="3"/>
      <c r="O250" s="1"/>
      <c r="P250" s="1"/>
      <c r="Q250" s="1"/>
      <c r="R250" s="1"/>
    </row>
    <row r="251" ht="12.75" customHeight="1">
      <c r="A251" s="2"/>
      <c r="B251" s="2"/>
      <c r="C251" s="2"/>
      <c r="D251" s="7"/>
      <c r="F251" s="2"/>
      <c r="G251" s="2"/>
      <c r="H251" s="2"/>
      <c r="I251" s="3"/>
      <c r="K251" s="2"/>
      <c r="L251" s="2"/>
      <c r="M251" s="2"/>
      <c r="N251" s="3"/>
      <c r="O251" s="4"/>
      <c r="P251" s="4"/>
    </row>
    <row r="252" ht="12.75" customHeight="1">
      <c r="A252" s="2"/>
      <c r="B252" s="2"/>
      <c r="C252" s="2"/>
      <c r="D252" s="7"/>
      <c r="F252" s="2"/>
      <c r="G252" s="2"/>
      <c r="H252" s="2"/>
      <c r="I252" s="3"/>
      <c r="K252" s="2"/>
      <c r="L252" s="2"/>
      <c r="M252" s="2"/>
      <c r="N252" s="3"/>
      <c r="O252" s="4"/>
      <c r="P252" s="4"/>
    </row>
    <row r="253" ht="12.75" customHeight="1">
      <c r="A253" s="2"/>
      <c r="B253" s="2"/>
      <c r="C253" s="2"/>
      <c r="D253" s="7"/>
      <c r="F253" s="2"/>
      <c r="G253" s="2"/>
      <c r="H253" s="2"/>
      <c r="I253" s="3"/>
      <c r="K253" s="2"/>
      <c r="L253" s="2"/>
      <c r="M253" s="2"/>
      <c r="N253" s="3"/>
      <c r="O253" s="4"/>
      <c r="P253" s="4"/>
    </row>
    <row r="254" ht="12.75" customHeight="1">
      <c r="A254" s="2"/>
      <c r="B254" s="2"/>
      <c r="C254" s="2"/>
      <c r="D254" s="7"/>
      <c r="F254" s="2"/>
      <c r="G254" s="2"/>
      <c r="H254" s="2"/>
      <c r="I254" s="3"/>
      <c r="K254" s="2"/>
      <c r="L254" s="2"/>
      <c r="M254" s="2"/>
      <c r="N254" s="3"/>
      <c r="O254" s="4"/>
      <c r="P254" s="4"/>
    </row>
    <row r="255" ht="12.75" customHeight="1">
      <c r="A255" s="2"/>
      <c r="B255" s="2"/>
      <c r="C255" s="2"/>
      <c r="D255" s="7"/>
      <c r="F255" s="2"/>
      <c r="G255" s="2"/>
      <c r="H255" s="2"/>
      <c r="I255" s="3"/>
      <c r="K255" s="2"/>
      <c r="L255" s="2"/>
      <c r="M255" s="2"/>
      <c r="N255" s="3"/>
      <c r="O255" s="4"/>
      <c r="P255" s="4"/>
    </row>
    <row r="256" ht="12.75" customHeight="1">
      <c r="A256" s="2"/>
      <c r="B256" s="2"/>
      <c r="C256" s="2"/>
      <c r="D256" s="7"/>
      <c r="F256" s="2"/>
      <c r="G256" s="2"/>
      <c r="H256" s="2"/>
      <c r="I256" s="3"/>
      <c r="K256" s="2"/>
      <c r="L256" s="2"/>
      <c r="M256" s="2"/>
      <c r="N256" s="3"/>
      <c r="O256" s="4"/>
      <c r="P256" s="4"/>
    </row>
    <row r="257" ht="12.75" customHeight="1">
      <c r="A257" s="2"/>
      <c r="B257" s="2"/>
      <c r="C257" s="2"/>
      <c r="D257" s="7"/>
      <c r="F257" s="2"/>
      <c r="G257" s="2"/>
      <c r="H257" s="2"/>
      <c r="I257" s="3"/>
      <c r="K257" s="2"/>
      <c r="L257" s="2"/>
      <c r="M257" s="2"/>
      <c r="N257" s="3"/>
      <c r="O257" s="4"/>
      <c r="P257" s="4"/>
    </row>
    <row r="258" ht="12.75" customHeight="1">
      <c r="A258" s="2"/>
      <c r="B258" s="2"/>
      <c r="C258" s="5"/>
      <c r="D258" s="7"/>
      <c r="F258" s="2"/>
      <c r="G258" s="2"/>
      <c r="H258" s="2"/>
      <c r="I258" s="3"/>
      <c r="K258" s="2"/>
      <c r="L258" s="2"/>
      <c r="M258" s="2"/>
      <c r="N258" s="3"/>
      <c r="O258" s="4"/>
      <c r="P258" s="4"/>
    </row>
    <row r="259" ht="12.75" customHeight="1">
      <c r="A259" s="2"/>
      <c r="B259" s="2"/>
      <c r="C259" s="2"/>
      <c r="D259" s="7"/>
      <c r="F259" s="2"/>
      <c r="G259" s="2"/>
      <c r="H259" s="2"/>
      <c r="I259" s="3"/>
      <c r="K259" s="2"/>
      <c r="L259" s="2"/>
      <c r="M259" s="2"/>
      <c r="N259" s="3"/>
      <c r="O259" s="4"/>
      <c r="P259" s="4"/>
    </row>
    <row r="260" ht="12.75" customHeight="1">
      <c r="A260" s="2"/>
      <c r="B260" s="2"/>
      <c r="C260" s="2"/>
      <c r="D260" s="7"/>
      <c r="F260" s="2"/>
      <c r="G260" s="2"/>
      <c r="H260" s="2"/>
      <c r="I260" s="3"/>
      <c r="K260" s="2"/>
      <c r="L260" s="2"/>
      <c r="M260" s="2"/>
      <c r="N260" s="3"/>
      <c r="O260" s="4"/>
      <c r="P260" s="4"/>
    </row>
    <row r="261" ht="12.75" customHeight="1">
      <c r="A261" s="2"/>
      <c r="B261" s="2"/>
      <c r="C261" s="2"/>
      <c r="D261" s="7"/>
      <c r="F261" s="2"/>
      <c r="G261" s="2"/>
      <c r="H261" s="2"/>
      <c r="I261" s="3"/>
      <c r="K261" s="2"/>
      <c r="L261" s="2"/>
      <c r="M261" s="2"/>
      <c r="N261" s="3"/>
      <c r="O261" s="4"/>
      <c r="P261" s="4"/>
    </row>
    <row r="262" ht="12.75" customHeight="1">
      <c r="A262" s="2"/>
      <c r="B262" s="2"/>
      <c r="C262" s="2"/>
      <c r="D262" s="7"/>
      <c r="F262" s="2"/>
      <c r="G262" s="2"/>
      <c r="H262" s="2"/>
      <c r="I262" s="3"/>
      <c r="K262" s="2"/>
      <c r="L262" s="2"/>
      <c r="M262" s="2"/>
      <c r="N262" s="3"/>
      <c r="O262" s="4"/>
      <c r="P262" s="4"/>
    </row>
    <row r="263" ht="12.75" customHeight="1">
      <c r="A263" s="2"/>
      <c r="B263" s="2"/>
      <c r="C263" s="5"/>
      <c r="D263" s="7"/>
      <c r="F263" s="2"/>
      <c r="G263" s="2"/>
      <c r="H263" s="5"/>
      <c r="I263" s="3"/>
      <c r="K263" s="2"/>
      <c r="L263" s="2"/>
      <c r="M263" s="2"/>
      <c r="N263" s="3"/>
      <c r="O263" s="4"/>
      <c r="P263" s="4"/>
    </row>
    <row r="264" ht="12.75" customHeight="1">
      <c r="A264" s="2"/>
      <c r="B264" s="2"/>
      <c r="C264" s="2"/>
      <c r="D264" s="7"/>
      <c r="F264" s="2"/>
      <c r="G264" s="2"/>
      <c r="H264" s="2"/>
      <c r="I264" s="3"/>
      <c r="K264" s="2"/>
      <c r="L264" s="2"/>
      <c r="M264" s="2"/>
      <c r="N264" s="3"/>
      <c r="O264" s="4"/>
      <c r="P264" s="4"/>
    </row>
    <row r="265" ht="12.75" customHeight="1">
      <c r="A265" s="2"/>
      <c r="B265" s="2"/>
      <c r="C265" s="2"/>
      <c r="D265" s="7"/>
      <c r="F265" s="2"/>
      <c r="G265" s="2"/>
      <c r="H265" s="2"/>
      <c r="I265" s="3"/>
      <c r="K265" s="2"/>
      <c r="L265" s="2"/>
      <c r="M265" s="2"/>
      <c r="N265" s="3"/>
      <c r="O265" s="4"/>
      <c r="P265" s="4"/>
    </row>
    <row r="266" ht="12.75" customHeight="1">
      <c r="A266" s="2"/>
      <c r="B266" s="2"/>
      <c r="C266" s="2"/>
      <c r="D266" s="7"/>
      <c r="F266" s="2"/>
      <c r="G266" s="2"/>
      <c r="H266" s="2"/>
      <c r="I266" s="3"/>
      <c r="K266" s="2"/>
      <c r="L266" s="2"/>
      <c r="M266" s="2"/>
      <c r="N266" s="3"/>
      <c r="O266" s="4"/>
      <c r="P266" s="4"/>
    </row>
    <row r="267" ht="12.75" customHeight="1">
      <c r="A267" s="2"/>
      <c r="B267" s="2"/>
      <c r="C267" s="2"/>
      <c r="D267" s="7"/>
      <c r="F267" s="2"/>
      <c r="G267" s="2"/>
      <c r="H267" s="2"/>
      <c r="I267" s="3"/>
      <c r="K267" s="2"/>
      <c r="L267" s="2"/>
      <c r="M267" s="2"/>
      <c r="N267" s="3"/>
      <c r="O267" s="4"/>
      <c r="P267" s="4"/>
    </row>
    <row r="268" ht="12.75" customHeight="1">
      <c r="A268" s="2"/>
      <c r="B268" s="2"/>
      <c r="C268" s="2"/>
      <c r="D268" s="7"/>
      <c r="F268" s="2"/>
      <c r="G268" s="2"/>
      <c r="H268" s="2"/>
      <c r="I268" s="3"/>
      <c r="K268" s="2"/>
      <c r="L268" s="2"/>
      <c r="M268" s="2"/>
      <c r="N268" s="3"/>
      <c r="O268" s="4"/>
      <c r="P268" s="4"/>
    </row>
    <row r="269" ht="12.75" customHeight="1">
      <c r="A269" s="2"/>
      <c r="B269" s="2"/>
      <c r="C269" s="2"/>
      <c r="D269" s="7"/>
      <c r="F269" s="2"/>
      <c r="G269" s="2"/>
      <c r="H269" s="2"/>
      <c r="I269" s="3"/>
      <c r="K269" s="2"/>
      <c r="L269" s="2"/>
      <c r="M269" s="2"/>
      <c r="N269" s="3"/>
      <c r="O269" s="4"/>
      <c r="P269" s="4"/>
    </row>
    <row r="270" ht="12.75" customHeight="1">
      <c r="A270" s="2"/>
      <c r="B270" s="2"/>
      <c r="C270" s="2"/>
      <c r="D270" s="7"/>
      <c r="F270" s="2"/>
      <c r="G270" s="2"/>
      <c r="H270" s="2"/>
      <c r="I270" s="3"/>
      <c r="K270" s="2"/>
      <c r="L270" s="2"/>
      <c r="M270" s="2"/>
      <c r="N270" s="3"/>
      <c r="O270" s="4"/>
      <c r="P270" s="4"/>
    </row>
    <row r="271" ht="12.75" customHeight="1">
      <c r="A271" s="2"/>
      <c r="B271" s="2"/>
      <c r="C271" s="2"/>
      <c r="D271" s="7"/>
      <c r="F271" s="2"/>
      <c r="G271" s="2"/>
      <c r="H271" s="2"/>
      <c r="I271" s="3"/>
      <c r="K271" s="2"/>
      <c r="L271" s="2"/>
      <c r="M271" s="2"/>
      <c r="N271" s="3"/>
      <c r="O271" s="4"/>
      <c r="P271" s="4"/>
    </row>
    <row r="272" ht="12.75" customHeight="1">
      <c r="A272" s="2"/>
      <c r="B272" s="2"/>
      <c r="C272" s="2"/>
      <c r="D272" s="7"/>
      <c r="F272" s="2"/>
      <c r="G272" s="2"/>
      <c r="H272" s="2"/>
      <c r="I272" s="3"/>
      <c r="K272" s="2"/>
      <c r="L272" s="2"/>
      <c r="M272" s="2"/>
      <c r="N272" s="3"/>
      <c r="O272" s="4"/>
      <c r="P272" s="4"/>
    </row>
    <row r="273" ht="12.75" customHeight="1">
      <c r="A273" s="2"/>
      <c r="B273" s="2"/>
      <c r="C273" s="2"/>
      <c r="D273" s="7"/>
      <c r="F273" s="2"/>
      <c r="G273" s="2"/>
      <c r="H273" s="2"/>
      <c r="I273" s="3"/>
      <c r="K273" s="2"/>
      <c r="L273" s="2"/>
      <c r="M273" s="2"/>
      <c r="N273" s="3"/>
      <c r="O273" s="4"/>
      <c r="P273" s="4"/>
    </row>
    <row r="274" ht="12.75" customHeight="1">
      <c r="A274" s="2"/>
      <c r="B274" s="2"/>
      <c r="C274" s="2"/>
      <c r="D274" s="7"/>
      <c r="F274" s="2"/>
      <c r="G274" s="2"/>
      <c r="H274" s="2"/>
      <c r="I274" s="3"/>
      <c r="K274" s="2"/>
      <c r="L274" s="2"/>
      <c r="M274" s="2"/>
      <c r="N274" s="3"/>
      <c r="O274" s="4"/>
      <c r="P274" s="4"/>
    </row>
    <row r="275" ht="12.75" customHeight="1">
      <c r="A275" s="2"/>
      <c r="B275" s="2"/>
      <c r="C275" s="2"/>
      <c r="D275" s="7"/>
      <c r="F275" s="2"/>
      <c r="G275" s="2"/>
      <c r="H275" s="2"/>
      <c r="I275" s="3"/>
      <c r="K275" s="2"/>
      <c r="L275" s="2"/>
      <c r="M275" s="2"/>
      <c r="N275" s="3"/>
      <c r="O275" s="4"/>
      <c r="P275" s="4"/>
    </row>
    <row r="276" ht="12.75" customHeight="1">
      <c r="A276" s="2"/>
      <c r="B276" s="2"/>
      <c r="C276" s="2"/>
      <c r="D276" s="7"/>
      <c r="F276" s="2"/>
      <c r="G276" s="2"/>
      <c r="H276" s="2"/>
      <c r="I276" s="3"/>
      <c r="K276" s="2"/>
      <c r="L276" s="2"/>
      <c r="M276" s="2"/>
      <c r="N276" s="3"/>
      <c r="O276" s="4"/>
      <c r="P276" s="4"/>
    </row>
    <row r="277" ht="12.75" customHeight="1">
      <c r="A277" s="2"/>
      <c r="B277" s="2"/>
      <c r="C277" s="2"/>
      <c r="D277" s="7"/>
      <c r="F277" s="2"/>
      <c r="G277" s="2"/>
      <c r="H277" s="2"/>
      <c r="I277" s="3"/>
      <c r="K277" s="2"/>
      <c r="L277" s="2"/>
      <c r="M277" s="2"/>
      <c r="N277" s="3"/>
      <c r="O277" s="4"/>
      <c r="P277" s="4"/>
    </row>
    <row r="278" ht="12.75" customHeight="1">
      <c r="A278" s="2"/>
      <c r="B278" s="2"/>
      <c r="C278" s="2"/>
      <c r="D278" s="7"/>
      <c r="F278" s="2"/>
      <c r="G278" s="2"/>
      <c r="H278" s="2"/>
      <c r="I278" s="3"/>
      <c r="K278" s="2"/>
      <c r="L278" s="2"/>
      <c r="M278" s="2"/>
      <c r="N278" s="3"/>
      <c r="O278" s="4"/>
      <c r="P278" s="4"/>
    </row>
    <row r="279" ht="12.75" customHeight="1">
      <c r="A279" s="2"/>
      <c r="B279" s="2"/>
      <c r="C279" s="2"/>
      <c r="D279" s="7"/>
      <c r="F279" s="2"/>
      <c r="G279" s="2"/>
      <c r="H279" s="2"/>
      <c r="I279" s="6"/>
      <c r="K279" s="2"/>
      <c r="L279" s="2"/>
      <c r="M279" s="2"/>
      <c r="N279" s="3"/>
      <c r="O279" s="4"/>
      <c r="P279" s="4"/>
    </row>
    <row r="280" ht="12.75" customHeight="1">
      <c r="A280" s="2"/>
      <c r="B280" s="2"/>
      <c r="C280" s="2"/>
      <c r="D280" s="7"/>
      <c r="F280" s="2"/>
      <c r="G280" s="2"/>
      <c r="H280" s="2"/>
      <c r="I280" s="3"/>
      <c r="K280" s="2"/>
      <c r="L280" s="2"/>
      <c r="M280" s="2"/>
      <c r="N280" s="3"/>
      <c r="O280" s="4"/>
      <c r="P280" s="4"/>
    </row>
    <row r="281" ht="12.75" customHeight="1">
      <c r="A281" s="2"/>
      <c r="B281" s="2"/>
      <c r="C281" s="5"/>
      <c r="D281" s="7"/>
      <c r="F281" s="2"/>
      <c r="G281" s="2"/>
      <c r="H281" s="2"/>
      <c r="I281" s="3"/>
      <c r="K281" s="2"/>
      <c r="L281" s="2"/>
      <c r="M281" s="2"/>
      <c r="N281" s="6"/>
      <c r="O281" s="4"/>
      <c r="P281" s="4"/>
    </row>
    <row r="282" ht="12.75" customHeight="1">
      <c r="A282" s="2"/>
      <c r="B282" s="2"/>
      <c r="C282" s="2"/>
      <c r="D282" s="7"/>
      <c r="F282" s="2"/>
      <c r="G282" s="2"/>
      <c r="H282" s="2"/>
      <c r="I282" s="3"/>
      <c r="K282" s="2"/>
      <c r="L282" s="2"/>
      <c r="M282" s="2"/>
      <c r="N282" s="3"/>
      <c r="O282" s="4"/>
      <c r="P282" s="4"/>
    </row>
    <row r="283" ht="12.75" customHeight="1">
      <c r="A283" s="2"/>
      <c r="B283" s="2"/>
      <c r="C283" s="2"/>
      <c r="D283" s="7"/>
      <c r="F283" s="2"/>
      <c r="G283" s="2"/>
      <c r="H283" s="2"/>
      <c r="I283" s="3"/>
      <c r="K283" s="2"/>
      <c r="L283" s="2"/>
      <c r="M283" s="2"/>
      <c r="N283" s="3"/>
      <c r="O283" s="4"/>
      <c r="P283" s="4"/>
    </row>
    <row r="284" ht="12.75" customHeight="1">
      <c r="A284" s="2"/>
      <c r="B284" s="2"/>
      <c r="C284" s="2"/>
      <c r="D284" s="7"/>
      <c r="F284" s="2"/>
      <c r="G284" s="2"/>
      <c r="H284" s="2"/>
      <c r="I284" s="3"/>
      <c r="K284" s="2"/>
      <c r="L284" s="2"/>
      <c r="M284" s="2"/>
      <c r="N284" s="3"/>
      <c r="O284" s="4"/>
      <c r="P284" s="4"/>
    </row>
    <row r="285" ht="12.75" customHeight="1">
      <c r="A285" s="2"/>
      <c r="B285" s="2"/>
      <c r="C285" s="2"/>
      <c r="D285" s="7"/>
      <c r="F285" s="2"/>
      <c r="G285" s="2"/>
      <c r="H285" s="2"/>
      <c r="I285" s="3"/>
      <c r="K285" s="2"/>
      <c r="L285" s="2"/>
      <c r="M285" s="2"/>
      <c r="N285" s="3"/>
      <c r="O285" s="4"/>
      <c r="P285" s="4"/>
    </row>
    <row r="286" ht="12.75" customHeight="1">
      <c r="A286" s="2"/>
      <c r="B286" s="2"/>
      <c r="C286" s="2"/>
      <c r="D286" s="7"/>
      <c r="F286" s="2"/>
      <c r="G286" s="2"/>
      <c r="H286" s="2"/>
      <c r="I286" s="3"/>
      <c r="K286" s="2"/>
      <c r="L286" s="2"/>
      <c r="M286" s="2"/>
      <c r="N286" s="3"/>
      <c r="O286" s="4"/>
      <c r="P286" s="4"/>
    </row>
    <row r="287" ht="12.75" customHeight="1">
      <c r="A287" s="2"/>
      <c r="B287" s="2"/>
      <c r="C287" s="2"/>
      <c r="D287" s="7"/>
      <c r="F287" s="2"/>
      <c r="G287" s="2"/>
      <c r="H287" s="2"/>
      <c r="I287" s="3"/>
      <c r="K287" s="2"/>
      <c r="L287" s="2"/>
      <c r="M287" s="2"/>
      <c r="N287" s="3"/>
      <c r="O287" s="4"/>
      <c r="P287" s="4"/>
    </row>
    <row r="288" ht="12.75" customHeight="1">
      <c r="O288" s="4"/>
      <c r="P288" s="4"/>
    </row>
    <row r="289" ht="12.75" customHeight="1">
      <c r="B289" s="1"/>
    </row>
    <row r="290" ht="12.75" customHeight="1">
      <c r="B290" s="2"/>
      <c r="C290" s="3"/>
      <c r="E290" s="3"/>
      <c r="F290" s="3"/>
      <c r="G290" s="7"/>
    </row>
    <row r="291" ht="12.75" customHeight="1">
      <c r="B291" s="2"/>
      <c r="C291" s="3"/>
      <c r="E291" s="3"/>
      <c r="F291" s="3"/>
      <c r="G291" s="7"/>
    </row>
    <row r="292" ht="12.75" customHeight="1">
      <c r="B292" s="2"/>
      <c r="C292" s="3"/>
      <c r="E292" s="3"/>
      <c r="F292" s="3"/>
      <c r="G292" s="7"/>
    </row>
    <row r="293" ht="12.75" customHeight="1">
      <c r="B293" s="2"/>
      <c r="C293" s="3"/>
      <c r="E293" s="3"/>
      <c r="F293" s="3"/>
      <c r="G293" s="7"/>
    </row>
    <row r="294" ht="12.75" customHeight="1">
      <c r="B294" s="2"/>
      <c r="C294" s="3"/>
      <c r="E294" s="3"/>
      <c r="F294" s="3"/>
      <c r="G294" s="7"/>
    </row>
    <row r="295" ht="12.75" customHeight="1">
      <c r="B295" s="2"/>
      <c r="C295" s="3"/>
      <c r="E295" s="3"/>
      <c r="F295" s="3"/>
      <c r="G295" s="7"/>
    </row>
    <row r="296" ht="12.75" customHeight="1">
      <c r="B296" s="2"/>
      <c r="C296" s="3"/>
      <c r="E296" s="3"/>
      <c r="F296" s="3"/>
      <c r="G296" s="7"/>
    </row>
    <row r="297" ht="12.75" customHeight="1">
      <c r="B297" s="2"/>
      <c r="C297" s="3"/>
      <c r="E297" s="3"/>
      <c r="F297" s="3"/>
      <c r="G297" s="7"/>
    </row>
    <row r="298" ht="12.75" customHeight="1">
      <c r="B298" s="2"/>
      <c r="C298" s="3"/>
      <c r="E298" s="3"/>
      <c r="F298" s="3"/>
      <c r="G298" s="7"/>
    </row>
    <row r="299" ht="12.75" customHeight="1">
      <c r="B299" s="2"/>
      <c r="C299" s="3"/>
      <c r="E299" s="3"/>
      <c r="F299" s="3"/>
      <c r="G299" s="7"/>
    </row>
    <row r="300" ht="12.75" customHeight="1">
      <c r="B300" s="2"/>
      <c r="C300" s="3"/>
      <c r="E300" s="3"/>
      <c r="F300" s="3"/>
      <c r="G300" s="7"/>
    </row>
    <row r="301" ht="12.75" customHeight="1">
      <c r="B301" s="2"/>
      <c r="C301" s="3"/>
      <c r="E301" s="3"/>
      <c r="F301" s="3"/>
      <c r="G301" s="7"/>
    </row>
    <row r="302" ht="12.75" customHeight="1">
      <c r="B302" s="2"/>
      <c r="C302" s="3"/>
      <c r="E302" s="3"/>
      <c r="F302" s="3"/>
      <c r="G302" s="7"/>
    </row>
    <row r="303" ht="12.75" customHeight="1">
      <c r="B303" s="2"/>
      <c r="C303" s="3"/>
      <c r="E303" s="3"/>
      <c r="F303" s="3"/>
      <c r="G303" s="7"/>
    </row>
    <row r="304" ht="12.75" customHeight="1">
      <c r="B304" s="2"/>
      <c r="C304" s="3"/>
    </row>
    <row r="305" ht="12.75" customHeight="1">
      <c r="B305" s="2"/>
      <c r="C305" s="3"/>
    </row>
    <row r="306" ht="12.75" customHeight="1">
      <c r="B306" s="2"/>
      <c r="C306" s="3"/>
    </row>
    <row r="307" ht="12.75" customHeight="1">
      <c r="B307" s="2"/>
      <c r="C307" s="3"/>
    </row>
    <row r="308" ht="12.75" customHeight="1">
      <c r="B308" s="2"/>
      <c r="C308" s="3"/>
    </row>
    <row r="309" ht="12.75" customHeight="1">
      <c r="B309" s="2"/>
      <c r="C309" s="3"/>
    </row>
    <row r="310" ht="12.75" customHeight="1">
      <c r="B310" s="2"/>
      <c r="C310" s="3"/>
    </row>
    <row r="311" ht="12.75" customHeight="1">
      <c r="B311" s="2"/>
      <c r="C311" s="3"/>
    </row>
    <row r="312" ht="12.75" customHeight="1">
      <c r="B312" s="2"/>
      <c r="C312" s="3"/>
    </row>
    <row r="313" ht="12.75" customHeight="1">
      <c r="B313" s="2"/>
      <c r="C313" s="3"/>
    </row>
    <row r="314" ht="12.75" customHeight="1">
      <c r="B314" s="2"/>
      <c r="C314" s="3"/>
    </row>
    <row r="315" ht="12.75" customHeight="1">
      <c r="B315" s="2"/>
      <c r="C315" s="3"/>
    </row>
    <row r="316" ht="12.75" customHeight="1">
      <c r="B316" s="2"/>
      <c r="C316" s="3"/>
    </row>
    <row r="317" ht="12.75" customHeight="1">
      <c r="B317" s="2"/>
      <c r="C317" s="3"/>
    </row>
    <row r="318" ht="12.75" customHeight="1">
      <c r="B318" s="2"/>
      <c r="C318" s="3"/>
    </row>
    <row r="319" ht="12.75" customHeight="1">
      <c r="B319" s="2"/>
      <c r="C319" s="3"/>
    </row>
    <row r="320" ht="12.75" customHeight="1">
      <c r="B320" s="2"/>
      <c r="C320" s="3"/>
    </row>
    <row r="321" ht="12.75" customHeight="1">
      <c r="B321" s="2"/>
      <c r="C321" s="3"/>
    </row>
    <row r="322" ht="12.75" customHeight="1">
      <c r="B322" s="2"/>
      <c r="C322" s="3"/>
    </row>
    <row r="323" ht="12.75" customHeight="1">
      <c r="B323" s="2"/>
      <c r="C323" s="3"/>
    </row>
    <row r="324" ht="12.75" customHeight="1">
      <c r="B324" s="2"/>
      <c r="C324" s="3"/>
    </row>
    <row r="325" ht="12.75" customHeight="1">
      <c r="B325" s="2"/>
      <c r="C325" s="3"/>
    </row>
    <row r="326" ht="12.75" customHeight="1">
      <c r="B326" s="2"/>
      <c r="C326" s="3"/>
    </row>
    <row r="327" ht="12.75" customHeight="1">
      <c r="B327" s="2"/>
      <c r="C327" s="3"/>
    </row>
    <row r="328" ht="12.75" customHeight="1">
      <c r="B328" s="2"/>
      <c r="C328" s="3"/>
    </row>
    <row r="329" ht="12.75" customHeight="1">
      <c r="B329" s="2"/>
      <c r="C329" s="3"/>
    </row>
    <row r="330" ht="12.75" customHeight="1">
      <c r="B330" s="2"/>
      <c r="C330" s="3"/>
    </row>
    <row r="331" ht="12.75" customHeight="1">
      <c r="B331" s="2"/>
      <c r="C331" s="3"/>
    </row>
    <row r="332" ht="12.75" customHeight="1">
      <c r="B332" s="2"/>
      <c r="C332" s="3"/>
    </row>
    <row r="333" ht="12.75" customHeight="1">
      <c r="B333" s="2"/>
      <c r="C333" s="3"/>
    </row>
    <row r="334" ht="12.75" customHeight="1">
      <c r="B334" s="2"/>
      <c r="C334" s="3"/>
    </row>
    <row r="335" ht="12.75" customHeight="1">
      <c r="B335" s="2"/>
      <c r="C335" s="3"/>
    </row>
    <row r="336" ht="12.75" customHeight="1">
      <c r="B336" s="2"/>
      <c r="C336" s="3"/>
    </row>
    <row r="337" ht="12.75" customHeight="1">
      <c r="B337" s="2"/>
      <c r="C337" s="3"/>
    </row>
    <row r="338" ht="12.75" customHeight="1">
      <c r="B338" s="2"/>
      <c r="C338" s="3"/>
    </row>
    <row r="339" ht="12.75" customHeight="1">
      <c r="B339" s="2"/>
      <c r="C339" s="3"/>
    </row>
    <row r="340" ht="12.75" customHeight="1">
      <c r="B340" s="2"/>
      <c r="C340" s="3"/>
    </row>
    <row r="341" ht="12.75" customHeight="1">
      <c r="B341" s="2"/>
      <c r="C341" s="3"/>
    </row>
    <row r="342" ht="12.75" customHeight="1">
      <c r="B342" s="2"/>
      <c r="C342" s="3"/>
    </row>
    <row r="343" ht="12.75" customHeight="1">
      <c r="B343" s="2"/>
      <c r="C343" s="3"/>
    </row>
    <row r="344" ht="12.75" customHeight="1">
      <c r="B344" s="2"/>
      <c r="C344" s="3"/>
    </row>
    <row r="345" ht="12.75" customHeight="1">
      <c r="B345" s="2"/>
      <c r="C345" s="3"/>
    </row>
    <row r="346" ht="12.75" customHeight="1">
      <c r="B346" s="2"/>
      <c r="C346" s="3"/>
    </row>
    <row r="347" ht="12.75" customHeight="1">
      <c r="B347" s="2"/>
      <c r="C347" s="3"/>
    </row>
    <row r="348" ht="12.75" customHeight="1">
      <c r="B348" s="2"/>
      <c r="C348" s="3"/>
    </row>
    <row r="349" ht="12.75" customHeight="1">
      <c r="B349" s="2"/>
      <c r="C349" s="3"/>
    </row>
    <row r="350" ht="12.75" customHeight="1">
      <c r="B350" s="2"/>
      <c r="C350" s="3"/>
    </row>
    <row r="351" ht="12.75" customHeight="1">
      <c r="B351" s="2"/>
      <c r="C351" s="3"/>
    </row>
    <row r="352" ht="12.75" customHeight="1">
      <c r="B352" s="2"/>
      <c r="C352" s="3"/>
    </row>
    <row r="353" ht="12.75" customHeight="1">
      <c r="B353" s="2"/>
      <c r="C353" s="3"/>
    </row>
    <row r="354" ht="12.75" customHeight="1">
      <c r="B354" s="2"/>
      <c r="C354" s="3"/>
    </row>
    <row r="355" ht="12.75" customHeight="1">
      <c r="B355" s="2"/>
      <c r="C355" s="3"/>
    </row>
    <row r="356" ht="12.75" customHeight="1">
      <c r="B356" s="2"/>
      <c r="C356" s="3"/>
    </row>
    <row r="357" ht="12.75" customHeight="1">
      <c r="B357" s="2"/>
      <c r="C357" s="3"/>
    </row>
    <row r="358" ht="12.75" customHeight="1">
      <c r="B358" s="2"/>
      <c r="C358" s="3"/>
    </row>
    <row r="359" ht="12.75" customHeight="1">
      <c r="B359" s="2"/>
      <c r="C359" s="3"/>
    </row>
    <row r="360" ht="12.75" customHeight="1">
      <c r="B360" s="2"/>
      <c r="C360" s="3"/>
    </row>
    <row r="361" ht="12.75" customHeight="1">
      <c r="B361" s="2"/>
      <c r="C361" s="3"/>
    </row>
    <row r="362" ht="12.75" customHeight="1">
      <c r="B362" s="2"/>
      <c r="C362" s="3"/>
    </row>
    <row r="363" ht="12.75" customHeight="1">
      <c r="B363" s="2"/>
      <c r="C363" s="3"/>
    </row>
    <row r="364" ht="12.75" customHeight="1">
      <c r="B364" s="2"/>
      <c r="C364" s="3"/>
    </row>
    <row r="365" ht="12.75" customHeight="1">
      <c r="B365" s="2"/>
      <c r="C365" s="3"/>
    </row>
    <row r="366" ht="12.75" customHeight="1">
      <c r="B366" s="2"/>
      <c r="C366" s="3"/>
    </row>
    <row r="367" ht="12.75" customHeight="1">
      <c r="B367" s="2"/>
      <c r="C367" s="3"/>
    </row>
    <row r="368" ht="12.75" customHeight="1">
      <c r="B368" s="2"/>
      <c r="C368" s="3"/>
    </row>
    <row r="369" ht="12.75" customHeight="1">
      <c r="B369" s="2"/>
      <c r="C369" s="3"/>
    </row>
    <row r="370" ht="12.75" customHeight="1">
      <c r="B370" s="2"/>
      <c r="C370" s="3"/>
    </row>
    <row r="371" ht="12.75" customHeight="1">
      <c r="B371" s="2"/>
      <c r="C371" s="3"/>
    </row>
    <row r="372" ht="12.75" customHeight="1">
      <c r="B372" s="2"/>
      <c r="C372" s="3"/>
    </row>
    <row r="373" ht="12.75" customHeight="1">
      <c r="B373" s="2"/>
      <c r="C373" s="3"/>
    </row>
    <row r="374" ht="12.75" customHeight="1">
      <c r="B374" s="2"/>
      <c r="C374" s="3"/>
    </row>
    <row r="375" ht="12.75" customHeight="1">
      <c r="B375" s="2"/>
      <c r="C375" s="3"/>
    </row>
    <row r="376" ht="12.75" customHeight="1">
      <c r="B376" s="2"/>
      <c r="C376" s="3"/>
    </row>
    <row r="377" ht="12.75" customHeight="1">
      <c r="B377" s="2"/>
      <c r="C377" s="3"/>
    </row>
    <row r="378" ht="12.75" customHeight="1">
      <c r="B378" s="2"/>
      <c r="C378" s="3"/>
    </row>
    <row r="379" ht="12.75" customHeight="1">
      <c r="B379" s="2"/>
      <c r="C379" s="3"/>
    </row>
    <row r="380" ht="12.75" customHeight="1">
      <c r="B380" s="2"/>
      <c r="C380" s="3"/>
    </row>
    <row r="381" ht="12.75" customHeight="1">
      <c r="B381" s="2"/>
      <c r="C381" s="3"/>
    </row>
    <row r="382" ht="12.75" customHeight="1">
      <c r="B382" s="2"/>
      <c r="C382" s="3"/>
    </row>
    <row r="383" ht="12.75" customHeight="1">
      <c r="B383" s="2"/>
      <c r="C383" s="3"/>
    </row>
    <row r="384" ht="12.75" customHeight="1">
      <c r="B384" s="2"/>
      <c r="C384" s="3"/>
    </row>
    <row r="385" ht="12.75" customHeight="1">
      <c r="B385" s="2"/>
      <c r="C385" s="3"/>
    </row>
    <row r="386" ht="12.75" customHeight="1">
      <c r="B386" s="2"/>
      <c r="C386" s="3"/>
    </row>
    <row r="387" ht="12.75" customHeight="1">
      <c r="B387" s="2"/>
      <c r="C387" s="3"/>
    </row>
    <row r="388" ht="12.75" customHeight="1">
      <c r="B388" s="2"/>
      <c r="C388" s="3"/>
    </row>
    <row r="389" ht="12.75" customHeight="1">
      <c r="B389" s="2"/>
      <c r="C389" s="3"/>
    </row>
    <row r="390" ht="12.75" customHeight="1">
      <c r="B390" s="2"/>
      <c r="C390" s="3"/>
    </row>
    <row r="391" ht="12.75" customHeight="1">
      <c r="B391" s="2"/>
      <c r="C391" s="3"/>
    </row>
    <row r="392" ht="12.75" customHeight="1">
      <c r="B392" s="2"/>
      <c r="C392" s="3"/>
    </row>
    <row r="393" ht="12.75" customHeight="1">
      <c r="B393" s="2"/>
      <c r="C393" s="3"/>
    </row>
    <row r="394" ht="12.75" customHeight="1">
      <c r="B394" s="2"/>
      <c r="C394" s="3"/>
    </row>
    <row r="395" ht="12.75" customHeight="1">
      <c r="B395" s="2"/>
      <c r="C395" s="3"/>
    </row>
    <row r="396" ht="12.75" customHeight="1">
      <c r="B396" s="2"/>
      <c r="C396" s="3"/>
    </row>
    <row r="397" ht="12.75" customHeight="1">
      <c r="B397" s="2"/>
      <c r="C397" s="3"/>
    </row>
    <row r="398" ht="12.75" customHeight="1">
      <c r="B398" s="2"/>
      <c r="C398" s="3"/>
    </row>
    <row r="399" ht="12.75" customHeight="1">
      <c r="B399" s="2"/>
      <c r="C399" s="3"/>
    </row>
    <row r="400" ht="12.75" customHeight="1">
      <c r="B400" s="2"/>
      <c r="C400" s="3"/>
    </row>
    <row r="401" ht="12.75" customHeight="1">
      <c r="B401" s="2"/>
      <c r="C401" s="3"/>
    </row>
    <row r="402" ht="12.75" customHeight="1">
      <c r="B402" s="2"/>
      <c r="C402" s="3"/>
    </row>
    <row r="403" ht="12.75" customHeight="1">
      <c r="B403" s="2"/>
      <c r="C403" s="3"/>
    </row>
    <row r="404" ht="12.75" customHeight="1">
      <c r="B404" s="2"/>
      <c r="C404" s="3"/>
    </row>
    <row r="405" ht="12.75" customHeight="1">
      <c r="B405" s="2"/>
      <c r="C405" s="3"/>
    </row>
    <row r="406" ht="12.75" customHeight="1">
      <c r="B406" s="2"/>
      <c r="C406" s="3"/>
    </row>
    <row r="407" ht="12.75" customHeight="1">
      <c r="B407" s="2"/>
      <c r="C407" s="3"/>
    </row>
    <row r="408" ht="12.75" customHeight="1">
      <c r="B408" s="2"/>
      <c r="C408" s="3"/>
    </row>
    <row r="409" ht="12.75" customHeight="1">
      <c r="B409" s="2"/>
      <c r="C409" s="3"/>
    </row>
    <row r="410" ht="12.75" customHeight="1">
      <c r="B410" s="2"/>
      <c r="C410" s="3"/>
    </row>
    <row r="411" ht="12.75" customHeight="1">
      <c r="B411" s="2"/>
      <c r="C411" s="3"/>
    </row>
    <row r="412" ht="12.75" customHeight="1">
      <c r="B412" s="2"/>
      <c r="C412" s="3"/>
    </row>
    <row r="413" ht="12.75" customHeight="1">
      <c r="B413" s="2"/>
      <c r="C413" s="3"/>
    </row>
    <row r="414" ht="12.75" customHeight="1">
      <c r="B414" s="2"/>
      <c r="C414" s="3"/>
    </row>
    <row r="415" ht="12.75" customHeight="1">
      <c r="B415" s="2"/>
      <c r="C415" s="3"/>
    </row>
    <row r="416" ht="12.75" customHeight="1">
      <c r="B416" s="2"/>
      <c r="C416" s="3"/>
    </row>
    <row r="417" ht="12.75" customHeight="1">
      <c r="B417" s="2"/>
      <c r="C417" s="3"/>
    </row>
    <row r="418" ht="12.75" customHeight="1">
      <c r="B418" s="2"/>
      <c r="C418" s="3"/>
    </row>
    <row r="419" ht="12.75" customHeight="1">
      <c r="B419" s="2"/>
      <c r="C419" s="3"/>
    </row>
    <row r="420" ht="12.75" customHeight="1">
      <c r="B420" s="2"/>
      <c r="C420" s="3"/>
    </row>
    <row r="421" ht="12.75" customHeight="1">
      <c r="B421" s="2"/>
      <c r="C421" s="3"/>
    </row>
    <row r="422" ht="12.75" customHeight="1">
      <c r="B422" s="2"/>
      <c r="C422" s="3"/>
    </row>
    <row r="423" ht="12.75" customHeight="1">
      <c r="B423" s="2"/>
      <c r="C423" s="3"/>
    </row>
    <row r="424" ht="12.75" customHeight="1">
      <c r="B424" s="2"/>
      <c r="C424" s="3"/>
    </row>
    <row r="425" ht="12.75" customHeight="1">
      <c r="B425" s="2"/>
      <c r="C425" s="3"/>
    </row>
    <row r="426" ht="12.75" customHeight="1">
      <c r="B426" s="2"/>
      <c r="C426" s="3"/>
    </row>
    <row r="427" ht="12.75" customHeight="1">
      <c r="B427" s="2"/>
      <c r="C427" s="3"/>
    </row>
    <row r="428" ht="12.75" customHeight="1">
      <c r="B428" s="2"/>
      <c r="C428" s="3"/>
    </row>
    <row r="429" ht="12.75" customHeight="1">
      <c r="B429" s="2"/>
      <c r="C429" s="3"/>
    </row>
    <row r="430" ht="12.75" customHeight="1">
      <c r="B430" s="2"/>
      <c r="C430" s="3"/>
    </row>
    <row r="431" ht="12.75" customHeight="1">
      <c r="B431" s="2"/>
      <c r="C431" s="3"/>
    </row>
    <row r="432" ht="12.75" customHeight="1">
      <c r="B432" s="2"/>
      <c r="C432" s="3"/>
    </row>
    <row r="433" ht="12.75" customHeight="1">
      <c r="B433" s="2"/>
      <c r="C433" s="3"/>
    </row>
    <row r="434" ht="12.75" customHeight="1">
      <c r="B434" s="2"/>
      <c r="C434" s="3"/>
    </row>
    <row r="435" ht="12.75" customHeight="1">
      <c r="B435" s="2"/>
      <c r="C435" s="3"/>
    </row>
    <row r="436" ht="12.75" customHeight="1">
      <c r="B436" s="2"/>
      <c r="C436" s="3"/>
    </row>
    <row r="437" ht="12.75" customHeight="1">
      <c r="B437" s="2"/>
      <c r="C437" s="3"/>
    </row>
    <row r="438" ht="12.75" customHeight="1">
      <c r="B438" s="2"/>
      <c r="C438" s="3"/>
    </row>
    <row r="439" ht="12.75" customHeight="1">
      <c r="B439" s="2"/>
      <c r="C439" s="3"/>
    </row>
    <row r="440" ht="12.75" customHeight="1">
      <c r="B440" s="2"/>
      <c r="C440" s="3"/>
    </row>
    <row r="441" ht="12.75" customHeight="1">
      <c r="B441" s="2"/>
      <c r="C441" s="3"/>
    </row>
    <row r="442" ht="12.75" customHeight="1">
      <c r="B442" s="2"/>
      <c r="C442" s="3"/>
    </row>
    <row r="443" ht="12.75" customHeight="1">
      <c r="B443" s="2"/>
      <c r="C443" s="3"/>
    </row>
    <row r="444" ht="12.75" customHeight="1">
      <c r="B444" s="2"/>
      <c r="C444" s="3"/>
    </row>
    <row r="445" ht="12.75" customHeight="1">
      <c r="B445" s="2"/>
      <c r="C445" s="3"/>
    </row>
    <row r="446" ht="12.75" customHeight="1">
      <c r="B446" s="2"/>
      <c r="C446" s="3"/>
    </row>
    <row r="447" ht="12.75" customHeight="1">
      <c r="B447" s="2"/>
      <c r="C447" s="3"/>
    </row>
    <row r="448" ht="12.75" customHeight="1">
      <c r="B448" s="2"/>
      <c r="C448" s="3"/>
    </row>
    <row r="449" ht="12.75" customHeight="1">
      <c r="B449" s="2"/>
      <c r="C449" s="3"/>
    </row>
    <row r="450" ht="12.75" customHeight="1">
      <c r="B450" s="2"/>
      <c r="C450" s="3"/>
    </row>
    <row r="451" ht="12.75" customHeight="1">
      <c r="B451" s="2"/>
      <c r="C451" s="3"/>
    </row>
    <row r="452" ht="12.75" customHeight="1">
      <c r="B452" s="2"/>
      <c r="C452" s="3"/>
    </row>
    <row r="453" ht="12.75" customHeight="1">
      <c r="B453" s="2"/>
      <c r="C453" s="3"/>
    </row>
    <row r="454" ht="12.75" customHeight="1">
      <c r="B454" s="2"/>
      <c r="C454" s="3"/>
    </row>
    <row r="455" ht="12.75" customHeight="1">
      <c r="B455" s="2"/>
      <c r="C455" s="3"/>
    </row>
    <row r="456" ht="12.75" customHeight="1">
      <c r="B456" s="2"/>
      <c r="C456" s="3"/>
    </row>
    <row r="457" ht="12.75" customHeight="1">
      <c r="B457" s="2"/>
      <c r="C457" s="3"/>
    </row>
    <row r="458" ht="12.75" customHeight="1">
      <c r="B458" s="2"/>
      <c r="C458" s="3"/>
    </row>
    <row r="459" ht="12.75" customHeight="1">
      <c r="B459" s="2"/>
      <c r="C459" s="3"/>
    </row>
    <row r="460" ht="12.75" customHeight="1">
      <c r="B460" s="2"/>
      <c r="C460" s="3"/>
    </row>
    <row r="461" ht="12.75" customHeight="1">
      <c r="B461" s="2"/>
      <c r="C461" s="3"/>
    </row>
    <row r="462" ht="12.75" customHeight="1">
      <c r="B462" s="2"/>
      <c r="C462" s="3"/>
    </row>
    <row r="463" ht="12.75" customHeight="1">
      <c r="B463" s="2"/>
      <c r="C463" s="3"/>
    </row>
    <row r="464" ht="12.75" customHeight="1">
      <c r="B464" s="2"/>
      <c r="C464" s="3"/>
    </row>
    <row r="465" ht="12.75" customHeight="1">
      <c r="B465" s="2"/>
      <c r="C465" s="3"/>
    </row>
    <row r="466" ht="12.75" customHeight="1">
      <c r="B466" s="2"/>
      <c r="C466" s="3"/>
    </row>
    <row r="467" ht="12.75" customHeight="1">
      <c r="B467" s="2"/>
      <c r="C467" s="3"/>
    </row>
    <row r="468" ht="12.75" customHeight="1">
      <c r="B468" s="2"/>
      <c r="C468" s="3"/>
    </row>
    <row r="469" ht="12.75" customHeight="1">
      <c r="B469" s="2"/>
      <c r="C469" s="3"/>
    </row>
    <row r="470" ht="12.75" customHeight="1">
      <c r="B470" s="2"/>
      <c r="C470" s="3"/>
    </row>
    <row r="471" ht="12.75" customHeight="1">
      <c r="B471" s="2"/>
      <c r="C471" s="3"/>
    </row>
    <row r="472" ht="12.75" customHeight="1">
      <c r="B472" s="2"/>
      <c r="C472" s="3"/>
    </row>
    <row r="473" ht="12.75" customHeight="1">
      <c r="B473" s="2"/>
      <c r="C473" s="3"/>
    </row>
    <row r="474" ht="12.75" customHeight="1">
      <c r="B474" s="2"/>
      <c r="C474" s="3"/>
    </row>
    <row r="475" ht="12.75" customHeight="1">
      <c r="B475" s="2"/>
      <c r="C475" s="3"/>
    </row>
    <row r="476" ht="12.75" customHeight="1">
      <c r="B476" s="2"/>
      <c r="C476" s="3"/>
    </row>
    <row r="477" ht="12.75" customHeight="1">
      <c r="B477" s="2"/>
      <c r="C477" s="3"/>
    </row>
    <row r="478" ht="12.75" customHeight="1">
      <c r="B478" s="2"/>
      <c r="C478" s="3"/>
    </row>
    <row r="479" ht="12.75" customHeight="1">
      <c r="B479" s="2"/>
      <c r="C479" s="3"/>
    </row>
    <row r="480" ht="12.75" customHeight="1">
      <c r="B480" s="2"/>
      <c r="C480" s="3"/>
    </row>
    <row r="481" ht="12.75" customHeight="1">
      <c r="B481" s="2"/>
      <c r="C481" s="3"/>
    </row>
    <row r="482" ht="12.75" customHeight="1">
      <c r="B482" s="2"/>
      <c r="C482" s="3"/>
    </row>
    <row r="483" ht="12.75" customHeight="1">
      <c r="B483" s="2"/>
      <c r="C483" s="3"/>
    </row>
    <row r="484" ht="12.75" customHeight="1">
      <c r="B484" s="2"/>
      <c r="C484" s="3"/>
    </row>
    <row r="485" ht="12.75" customHeight="1">
      <c r="B485" s="2"/>
      <c r="C485" s="3"/>
    </row>
    <row r="486" ht="12.75" customHeight="1">
      <c r="B486" s="2"/>
      <c r="C486" s="3"/>
    </row>
    <row r="487" ht="12.75" customHeight="1">
      <c r="B487" s="2"/>
      <c r="C487" s="3"/>
    </row>
    <row r="488" ht="12.75" customHeight="1">
      <c r="B488" s="2"/>
      <c r="C488" s="3"/>
    </row>
    <row r="489" ht="12.75" customHeight="1">
      <c r="B489" s="2"/>
      <c r="C489" s="3"/>
    </row>
    <row r="490" ht="12.75" customHeight="1">
      <c r="B490" s="2"/>
      <c r="C490" s="3"/>
    </row>
    <row r="491" ht="12.75" customHeight="1">
      <c r="B491" s="2"/>
      <c r="C491" s="3"/>
    </row>
    <row r="492" ht="12.75" customHeight="1">
      <c r="B492" s="2"/>
      <c r="C492" s="3"/>
    </row>
    <row r="493" ht="12.75" customHeight="1">
      <c r="B493" s="2"/>
      <c r="C493" s="3"/>
    </row>
    <row r="494" ht="12.75" customHeight="1">
      <c r="B494" s="2"/>
      <c r="C494" s="3"/>
    </row>
    <row r="495" ht="12.75" customHeight="1">
      <c r="B495" s="2"/>
      <c r="C495" s="3"/>
    </row>
    <row r="496" ht="12.75" customHeight="1">
      <c r="B496" s="2"/>
      <c r="C496" s="3"/>
    </row>
    <row r="497" ht="12.75" customHeight="1">
      <c r="B497" s="2"/>
      <c r="C497" s="3"/>
    </row>
    <row r="498" ht="12.75" customHeight="1">
      <c r="B498" s="2"/>
      <c r="C498" s="3"/>
    </row>
    <row r="499" ht="12.75" customHeight="1">
      <c r="B499" s="2"/>
      <c r="C499" s="3"/>
    </row>
    <row r="500" ht="12.75" customHeight="1">
      <c r="B500" s="2"/>
      <c r="C500" s="3"/>
    </row>
    <row r="501" ht="12.75" customHeight="1">
      <c r="B501" s="2"/>
      <c r="C501" s="3"/>
    </row>
    <row r="502" ht="12.75" customHeight="1">
      <c r="B502" s="2"/>
      <c r="C502" s="3"/>
    </row>
    <row r="503" ht="12.75" customHeight="1">
      <c r="B503" s="2"/>
      <c r="C503" s="3"/>
    </row>
    <row r="504" ht="12.75" customHeight="1">
      <c r="B504" s="2"/>
      <c r="C504" s="3"/>
    </row>
    <row r="505" ht="12.75" customHeight="1">
      <c r="B505" s="2"/>
      <c r="C505" s="3"/>
    </row>
    <row r="506" ht="12.75" customHeight="1">
      <c r="B506" s="2"/>
      <c r="C506" s="3"/>
    </row>
    <row r="507" ht="12.75" customHeight="1">
      <c r="B507" s="2"/>
      <c r="C507" s="3"/>
    </row>
    <row r="508" ht="12.75" customHeight="1">
      <c r="B508" s="2"/>
      <c r="C508" s="3"/>
    </row>
    <row r="509" ht="12.75" customHeight="1">
      <c r="B509" s="2"/>
      <c r="C509" s="3"/>
    </row>
    <row r="510" ht="12.75" customHeight="1">
      <c r="B510" s="2"/>
      <c r="C510" s="3"/>
    </row>
    <row r="511" ht="12.75" customHeight="1">
      <c r="B511" s="2"/>
      <c r="C511" s="3"/>
    </row>
    <row r="512" ht="12.75" customHeight="1">
      <c r="B512" s="2"/>
      <c r="C512" s="3"/>
    </row>
    <row r="513" ht="12.75" customHeight="1">
      <c r="B513" s="2"/>
      <c r="C513" s="3"/>
    </row>
    <row r="514" ht="12.75" customHeight="1">
      <c r="B514" s="2"/>
      <c r="C514" s="3"/>
    </row>
    <row r="515" ht="12.75" customHeight="1">
      <c r="B515" s="2"/>
      <c r="C515" s="3"/>
    </row>
    <row r="516" ht="12.75" customHeight="1">
      <c r="B516" s="2"/>
      <c r="C516" s="3"/>
    </row>
    <row r="517" ht="12.75" customHeight="1">
      <c r="B517" s="2"/>
      <c r="C517" s="3"/>
    </row>
    <row r="518" ht="12.75" customHeight="1">
      <c r="B518" s="2"/>
      <c r="C518" s="3"/>
    </row>
    <row r="519" ht="12.75" customHeight="1">
      <c r="B519" s="2"/>
      <c r="C519" s="3"/>
    </row>
    <row r="520" ht="12.75" customHeight="1">
      <c r="B520" s="2"/>
      <c r="C520" s="3"/>
    </row>
    <row r="521" ht="12.75" customHeight="1">
      <c r="B521" s="2"/>
      <c r="C521" s="3"/>
    </row>
    <row r="522" ht="12.75" customHeight="1">
      <c r="B522" s="2"/>
      <c r="C522" s="3"/>
    </row>
    <row r="523" ht="12.75" customHeight="1">
      <c r="B523" s="2"/>
      <c r="C523" s="3"/>
    </row>
    <row r="524" ht="12.75" customHeight="1">
      <c r="B524" s="2"/>
      <c r="C524" s="3"/>
    </row>
    <row r="525" ht="12.75" customHeight="1">
      <c r="B525" s="2"/>
      <c r="C525" s="3"/>
    </row>
    <row r="526" ht="12.75" customHeight="1">
      <c r="B526" s="2"/>
      <c r="C526" s="3"/>
    </row>
    <row r="527" ht="12.75" customHeight="1">
      <c r="B527" s="2"/>
      <c r="C527" s="3"/>
    </row>
    <row r="528" ht="12.75" customHeight="1">
      <c r="B528" s="2"/>
      <c r="C528" s="3"/>
    </row>
    <row r="529" ht="12.75" customHeight="1">
      <c r="B529" s="2"/>
      <c r="C529" s="3"/>
    </row>
    <row r="530" ht="12.75" customHeight="1">
      <c r="B530" s="2"/>
      <c r="C530" s="3"/>
    </row>
    <row r="531" ht="12.75" customHeight="1">
      <c r="B531" s="2"/>
      <c r="C531" s="3"/>
    </row>
    <row r="532" ht="12.75" customHeight="1">
      <c r="B532" s="2"/>
      <c r="C532" s="3"/>
    </row>
    <row r="533" ht="12.75" customHeight="1">
      <c r="B533" s="2"/>
      <c r="C533" s="3"/>
    </row>
    <row r="534" ht="12.75" customHeight="1">
      <c r="B534" s="2"/>
      <c r="C534" s="3"/>
    </row>
    <row r="535" ht="12.75" customHeight="1">
      <c r="B535" s="2"/>
      <c r="C535" s="3"/>
    </row>
    <row r="536" ht="12.75" customHeight="1">
      <c r="B536" s="2"/>
      <c r="C536" s="3"/>
    </row>
    <row r="537" ht="12.75" customHeight="1">
      <c r="B537" s="2"/>
      <c r="C537" s="3"/>
    </row>
    <row r="538" ht="12.75" customHeight="1">
      <c r="B538" s="2"/>
      <c r="C538" s="3"/>
    </row>
    <row r="539" ht="12.75" customHeight="1">
      <c r="B539" s="2"/>
      <c r="C539" s="3"/>
    </row>
    <row r="540" ht="12.75" customHeight="1">
      <c r="B540" s="2"/>
      <c r="C540" s="3"/>
    </row>
    <row r="541" ht="12.75" customHeight="1">
      <c r="B541" s="2"/>
      <c r="C541" s="3"/>
    </row>
    <row r="542" ht="12.75" customHeight="1">
      <c r="B542" s="2"/>
      <c r="C542" s="3"/>
    </row>
    <row r="543" ht="12.75" customHeight="1">
      <c r="B543" s="2"/>
      <c r="C543" s="3"/>
    </row>
    <row r="544" ht="12.75" customHeight="1">
      <c r="B544" s="2"/>
      <c r="C544" s="3"/>
    </row>
    <row r="545" ht="12.75" customHeight="1">
      <c r="B545" s="2"/>
      <c r="C545" s="3"/>
    </row>
    <row r="546" ht="12.75" customHeight="1">
      <c r="B546" s="2"/>
      <c r="C546" s="3"/>
    </row>
    <row r="547" ht="12.75" customHeight="1">
      <c r="B547" s="2"/>
      <c r="C547" s="3"/>
    </row>
    <row r="548" ht="12.75" customHeight="1">
      <c r="B548" s="2"/>
      <c r="C548" s="3"/>
    </row>
    <row r="549" ht="12.75" customHeight="1">
      <c r="B549" s="2"/>
      <c r="C549" s="3"/>
    </row>
    <row r="550" ht="12.75" customHeight="1">
      <c r="B550" s="2"/>
      <c r="C550" s="3"/>
    </row>
    <row r="551" ht="12.75" customHeight="1">
      <c r="B551" s="2"/>
      <c r="C551" s="3"/>
    </row>
    <row r="552" ht="12.75" customHeight="1">
      <c r="B552" s="2"/>
      <c r="C552" s="3"/>
    </row>
    <row r="553" ht="12.75" customHeight="1">
      <c r="B553" s="2"/>
      <c r="C553" s="3"/>
    </row>
    <row r="554" ht="12.75" customHeight="1">
      <c r="B554" s="2"/>
      <c r="C554" s="3"/>
    </row>
    <row r="555" ht="12.75" customHeight="1">
      <c r="B555" s="2"/>
      <c r="C555" s="3"/>
    </row>
    <row r="556" ht="12.75" customHeight="1">
      <c r="B556" s="2"/>
      <c r="C556" s="3"/>
    </row>
    <row r="557" ht="12.75" customHeight="1">
      <c r="B557" s="2"/>
      <c r="C557" s="3"/>
    </row>
    <row r="558" ht="12.75" customHeight="1">
      <c r="B558" s="2"/>
      <c r="C558" s="3"/>
    </row>
    <row r="559" ht="12.75" customHeight="1">
      <c r="B559" s="2"/>
      <c r="C559" s="3"/>
    </row>
    <row r="560" ht="12.75" customHeight="1">
      <c r="B560" s="2"/>
      <c r="C560" s="3"/>
    </row>
    <row r="561" ht="12.75" customHeight="1">
      <c r="B561" s="2"/>
      <c r="C561" s="3"/>
    </row>
    <row r="562" ht="12.75" customHeight="1">
      <c r="B562" s="2"/>
      <c r="C562" s="3"/>
    </row>
    <row r="563" ht="12.75" customHeight="1">
      <c r="B563" s="2"/>
      <c r="C563" s="3"/>
    </row>
    <row r="564" ht="12.75" customHeight="1">
      <c r="B564" s="2"/>
      <c r="C564" s="3"/>
    </row>
    <row r="565" ht="12.75" customHeight="1">
      <c r="B565" s="2"/>
      <c r="C565" s="3"/>
    </row>
    <row r="566" ht="12.75" customHeight="1">
      <c r="B566" s="2"/>
      <c r="C566" s="3"/>
    </row>
    <row r="567" ht="12.75" customHeight="1">
      <c r="B567" s="2"/>
      <c r="C567" s="3"/>
    </row>
    <row r="568" ht="12.75" customHeight="1">
      <c r="B568" s="2"/>
      <c r="C568" s="3"/>
    </row>
    <row r="569" ht="12.75" customHeight="1">
      <c r="B569" s="2"/>
      <c r="C569" s="3"/>
    </row>
    <row r="570" ht="12.75" customHeight="1">
      <c r="B570" s="2"/>
      <c r="C570" s="3"/>
    </row>
    <row r="571" ht="12.75" customHeight="1">
      <c r="B571" s="2"/>
      <c r="C571" s="3"/>
    </row>
    <row r="572" ht="12.75" customHeight="1">
      <c r="B572" s="2"/>
      <c r="C572" s="3"/>
    </row>
    <row r="573" ht="12.75" customHeight="1">
      <c r="B573" s="2"/>
      <c r="C573" s="3"/>
    </row>
    <row r="574" ht="12.75" customHeight="1">
      <c r="B574" s="2"/>
      <c r="C574" s="3"/>
    </row>
    <row r="575" ht="12.75" customHeight="1">
      <c r="B575" s="2"/>
      <c r="C575" s="3"/>
    </row>
    <row r="576" ht="12.75" customHeight="1">
      <c r="B576" s="2"/>
      <c r="C576" s="3"/>
    </row>
    <row r="577" ht="12.75" customHeight="1">
      <c r="B577" s="2"/>
      <c r="C577" s="3"/>
    </row>
    <row r="578" ht="12.75" customHeight="1">
      <c r="B578" s="2"/>
      <c r="C578" s="3"/>
    </row>
    <row r="579" ht="12.75" customHeight="1">
      <c r="B579" s="2"/>
      <c r="C579" s="3"/>
    </row>
    <row r="580" ht="12.75" customHeight="1">
      <c r="B580" s="2"/>
      <c r="C580" s="3"/>
    </row>
    <row r="581" ht="12.75" customHeight="1">
      <c r="B581" s="2"/>
      <c r="C581" s="3"/>
    </row>
    <row r="582" ht="12.75" customHeight="1">
      <c r="B582" s="2"/>
      <c r="C582" s="3"/>
    </row>
    <row r="583" ht="12.75" customHeight="1">
      <c r="B583" s="2"/>
      <c r="C583" s="3"/>
    </row>
    <row r="584" ht="12.75" customHeight="1">
      <c r="B584" s="2"/>
      <c r="C584" s="3"/>
    </row>
    <row r="585" ht="12.75" customHeight="1">
      <c r="B585" s="2"/>
      <c r="C585" s="3"/>
    </row>
    <row r="586" ht="12.75" customHeight="1">
      <c r="B586" s="2"/>
      <c r="C586" s="3"/>
    </row>
    <row r="587" ht="12.75" customHeight="1">
      <c r="B587" s="2"/>
      <c r="C587" s="3"/>
    </row>
    <row r="588" ht="12.75" customHeight="1">
      <c r="B588" s="2"/>
      <c r="C588" s="3"/>
    </row>
    <row r="589" ht="12.75" customHeight="1">
      <c r="B589" s="2"/>
      <c r="C589" s="3"/>
    </row>
    <row r="590" ht="12.75" customHeight="1">
      <c r="B590" s="2"/>
      <c r="C590" s="3"/>
    </row>
    <row r="591" ht="12.75" customHeight="1">
      <c r="B591" s="2"/>
      <c r="C591" s="3"/>
    </row>
    <row r="592" ht="12.75" customHeight="1">
      <c r="B592" s="2"/>
      <c r="C592" s="3"/>
    </row>
    <row r="593" ht="12.75" customHeight="1">
      <c r="B593" s="2"/>
      <c r="C593" s="3"/>
    </row>
    <row r="594" ht="12.75" customHeight="1">
      <c r="B594" s="2"/>
      <c r="C594" s="3"/>
    </row>
    <row r="595" ht="12.75" customHeight="1">
      <c r="B595" s="2"/>
      <c r="C595" s="3"/>
    </row>
    <row r="596" ht="12.75" customHeight="1">
      <c r="B596" s="2"/>
      <c r="C596" s="3"/>
    </row>
    <row r="597" ht="12.75" customHeight="1">
      <c r="B597" s="2"/>
      <c r="C597" s="3"/>
    </row>
    <row r="598" ht="12.75" customHeight="1">
      <c r="B598" s="2"/>
      <c r="C598" s="3"/>
    </row>
    <row r="599" ht="12.75" customHeight="1">
      <c r="B599" s="2"/>
      <c r="C599" s="3"/>
    </row>
    <row r="600" ht="12.75" customHeight="1">
      <c r="B600" s="2"/>
      <c r="C600" s="3"/>
    </row>
    <row r="601" ht="12.75" customHeight="1">
      <c r="B601" s="2"/>
      <c r="C601" s="3"/>
    </row>
    <row r="602" ht="12.75" customHeight="1">
      <c r="B602" s="2"/>
      <c r="C602" s="3"/>
    </row>
    <row r="603" ht="12.75" customHeight="1">
      <c r="B603" s="2"/>
      <c r="C603" s="3"/>
    </row>
    <row r="604" ht="12.75" customHeight="1">
      <c r="B604" s="2"/>
      <c r="C604" s="3"/>
    </row>
    <row r="605" ht="12.75" customHeight="1">
      <c r="B605" s="2"/>
      <c r="C605" s="3"/>
    </row>
    <row r="606" ht="12.75" customHeight="1">
      <c r="B606" s="2"/>
      <c r="C606" s="3"/>
    </row>
    <row r="607" ht="12.75" customHeight="1">
      <c r="B607" s="2"/>
      <c r="C607" s="3"/>
    </row>
    <row r="608" ht="12.75" customHeight="1">
      <c r="B608" s="2"/>
      <c r="C608" s="3"/>
    </row>
    <row r="609" ht="12.75" customHeight="1">
      <c r="B609" s="2"/>
      <c r="C609" s="3"/>
    </row>
    <row r="610" ht="12.75" customHeight="1">
      <c r="B610" s="2"/>
      <c r="C610" s="3"/>
    </row>
    <row r="611" ht="12.75" customHeight="1">
      <c r="B611" s="2"/>
      <c r="C611" s="3"/>
    </row>
    <row r="612" ht="12.75" customHeight="1">
      <c r="B612" s="2"/>
      <c r="C612" s="3"/>
    </row>
    <row r="613" ht="12.75" customHeight="1">
      <c r="B613" s="2"/>
      <c r="C613" s="3"/>
    </row>
    <row r="614" ht="12.75" customHeight="1">
      <c r="B614" s="2"/>
      <c r="C614" s="3"/>
    </row>
    <row r="615" ht="12.75" customHeight="1">
      <c r="B615" s="2"/>
      <c r="C615" s="3"/>
    </row>
    <row r="616" ht="12.75" customHeight="1">
      <c r="B616" s="2"/>
      <c r="C616" s="3"/>
    </row>
    <row r="617" ht="12.75" customHeight="1">
      <c r="B617" s="2"/>
      <c r="C617" s="3"/>
    </row>
    <row r="618" ht="12.75" customHeight="1">
      <c r="B618" s="2"/>
      <c r="C618" s="3"/>
    </row>
    <row r="619" ht="12.75" customHeight="1">
      <c r="B619" s="2"/>
      <c r="C619" s="3"/>
    </row>
    <row r="620" ht="12.75" customHeight="1">
      <c r="B620" s="2"/>
      <c r="C620" s="3"/>
    </row>
    <row r="621" ht="12.75" customHeight="1">
      <c r="B621" s="2"/>
      <c r="C621" s="3"/>
    </row>
    <row r="622" ht="12.75" customHeight="1">
      <c r="B622" s="2"/>
      <c r="C622" s="3"/>
    </row>
    <row r="623" ht="12.75" customHeight="1">
      <c r="B623" s="2"/>
      <c r="C623" s="3"/>
    </row>
    <row r="624" ht="12.75" customHeight="1">
      <c r="B624" s="2"/>
      <c r="C624" s="3"/>
    </row>
    <row r="625" ht="12.75" customHeight="1">
      <c r="B625" s="2"/>
      <c r="C625" s="3"/>
    </row>
    <row r="626" ht="12.75" customHeight="1">
      <c r="B626" s="2"/>
      <c r="C626" s="3"/>
    </row>
    <row r="627" ht="12.75" customHeight="1">
      <c r="B627" s="2"/>
      <c r="C627" s="3"/>
    </row>
    <row r="628" ht="12.75" customHeight="1">
      <c r="B628" s="2"/>
      <c r="C628" s="3"/>
    </row>
    <row r="629" ht="12.75" customHeight="1">
      <c r="B629" s="2"/>
      <c r="C629" s="3"/>
    </row>
    <row r="630" ht="12.75" customHeight="1">
      <c r="B630" s="2"/>
      <c r="C630" s="3"/>
    </row>
    <row r="631" ht="12.75" customHeight="1">
      <c r="B631" s="2"/>
      <c r="C631" s="3"/>
    </row>
    <row r="632" ht="12.75" customHeight="1">
      <c r="B632" s="2"/>
      <c r="C632" s="3"/>
    </row>
    <row r="633" ht="12.75" customHeight="1">
      <c r="B633" s="2"/>
      <c r="C633" s="3"/>
    </row>
    <row r="634" ht="12.75" customHeight="1">
      <c r="B634" s="2"/>
      <c r="C634" s="3"/>
    </row>
    <row r="635" ht="12.75" customHeight="1">
      <c r="B635" s="2"/>
      <c r="C635" s="3"/>
    </row>
    <row r="636" ht="12.75" customHeight="1">
      <c r="B636" s="2"/>
      <c r="C636" s="3"/>
    </row>
    <row r="637" ht="12.75" customHeight="1">
      <c r="B637" s="2"/>
      <c r="C637" s="3"/>
    </row>
    <row r="638" ht="12.75" customHeight="1">
      <c r="B638" s="2"/>
      <c r="C638" s="3"/>
    </row>
    <row r="639" ht="12.75" customHeight="1">
      <c r="B639" s="2"/>
      <c r="C639" s="3"/>
    </row>
    <row r="640" ht="12.75" customHeight="1">
      <c r="B640" s="2"/>
      <c r="C640" s="3"/>
    </row>
    <row r="641" ht="12.75" customHeight="1">
      <c r="B641" s="2"/>
      <c r="C641" s="3"/>
    </row>
    <row r="642" ht="12.75" customHeight="1">
      <c r="B642" s="2"/>
      <c r="C642" s="3"/>
    </row>
    <row r="643" ht="12.75" customHeight="1">
      <c r="B643" s="2"/>
      <c r="C643" s="3"/>
    </row>
    <row r="644" ht="12.75" customHeight="1">
      <c r="B644" s="2"/>
      <c r="C644" s="3"/>
    </row>
    <row r="645" ht="12.75" customHeight="1">
      <c r="B645" s="2"/>
      <c r="C645" s="3"/>
    </row>
    <row r="646" ht="12.75" customHeight="1">
      <c r="B646" s="2"/>
      <c r="C646" s="3"/>
    </row>
    <row r="647" ht="12.75" customHeight="1">
      <c r="B647" s="2"/>
      <c r="C647" s="3"/>
    </row>
    <row r="648" ht="12.75" customHeight="1">
      <c r="B648" s="2"/>
      <c r="C648" s="3"/>
    </row>
    <row r="649" ht="12.75" customHeight="1">
      <c r="B649" s="2"/>
      <c r="C649" s="3"/>
    </row>
    <row r="650" ht="12.75" customHeight="1">
      <c r="B650" s="2"/>
      <c r="C650" s="3"/>
    </row>
    <row r="651" ht="12.75" customHeight="1">
      <c r="B651" s="2"/>
      <c r="C651" s="3"/>
    </row>
    <row r="652" ht="12.75" customHeight="1">
      <c r="B652" s="2"/>
      <c r="C652" s="3"/>
    </row>
    <row r="653" ht="12.75" customHeight="1">
      <c r="B653" s="2"/>
      <c r="C653" s="3"/>
    </row>
    <row r="654" ht="12.75" customHeight="1">
      <c r="B654" s="2"/>
      <c r="C654" s="3"/>
    </row>
    <row r="655" ht="12.75" customHeight="1">
      <c r="B655" s="2"/>
      <c r="C655" s="3"/>
    </row>
    <row r="656" ht="12.75" customHeight="1">
      <c r="B656" s="2"/>
      <c r="C656" s="3"/>
    </row>
    <row r="657" ht="12.75" customHeight="1">
      <c r="B657" s="2"/>
      <c r="C657" s="3"/>
    </row>
    <row r="658" ht="12.75" customHeight="1">
      <c r="B658" s="2"/>
      <c r="C658" s="3"/>
    </row>
    <row r="659" ht="12.75" customHeight="1">
      <c r="B659" s="2"/>
      <c r="C659" s="3"/>
    </row>
    <row r="660" ht="12.75" customHeight="1">
      <c r="B660" s="2"/>
      <c r="C660" s="3"/>
    </row>
    <row r="661" ht="12.75" customHeight="1">
      <c r="B661" s="2"/>
      <c r="C661" s="3"/>
    </row>
    <row r="662" ht="12.75" customHeight="1">
      <c r="B662" s="2"/>
      <c r="C662" s="3"/>
    </row>
    <row r="663" ht="12.75" customHeight="1">
      <c r="B663" s="2"/>
      <c r="C663" s="3"/>
    </row>
    <row r="664" ht="12.75" customHeight="1">
      <c r="B664" s="2"/>
      <c r="C664" s="3"/>
    </row>
    <row r="665" ht="12.75" customHeight="1">
      <c r="B665" s="2"/>
      <c r="C665" s="3"/>
    </row>
    <row r="666" ht="12.75" customHeight="1">
      <c r="B666" s="2"/>
      <c r="C666" s="3"/>
    </row>
    <row r="667" ht="12.75" customHeight="1">
      <c r="B667" s="2"/>
      <c r="C667" s="3"/>
    </row>
    <row r="668" ht="12.75" customHeight="1">
      <c r="B668" s="2"/>
      <c r="C668" s="3"/>
    </row>
    <row r="669" ht="12.75" customHeight="1">
      <c r="B669" s="2"/>
      <c r="C669" s="3"/>
    </row>
    <row r="670" ht="12.75" customHeight="1">
      <c r="B670" s="2"/>
      <c r="C670" s="3"/>
    </row>
    <row r="671" ht="12.75" customHeight="1">
      <c r="B671" s="2"/>
      <c r="C671" s="3"/>
    </row>
    <row r="672" ht="12.75" customHeight="1">
      <c r="B672" s="2"/>
      <c r="C672" s="3"/>
    </row>
    <row r="673" ht="12.75" customHeight="1">
      <c r="B673" s="2"/>
      <c r="C673" s="3"/>
    </row>
    <row r="674" ht="12.75" customHeight="1">
      <c r="B674" s="2"/>
      <c r="C674" s="3"/>
    </row>
    <row r="675" ht="12.75" customHeight="1">
      <c r="B675" s="2"/>
      <c r="C675" s="3"/>
    </row>
    <row r="676" ht="12.75" customHeight="1">
      <c r="B676" s="2"/>
      <c r="C676" s="3"/>
    </row>
    <row r="677" ht="12.75" customHeight="1">
      <c r="B677" s="2"/>
      <c r="C677" s="3"/>
    </row>
    <row r="678" ht="12.75" customHeight="1">
      <c r="B678" s="2"/>
      <c r="C678" s="3"/>
    </row>
    <row r="679" ht="12.75" customHeight="1">
      <c r="B679" s="2"/>
      <c r="C679" s="3"/>
    </row>
    <row r="680" ht="12.75" customHeight="1">
      <c r="B680" s="2"/>
      <c r="C680" s="3"/>
    </row>
    <row r="681" ht="12.75" customHeight="1">
      <c r="B681" s="2"/>
      <c r="C681" s="3"/>
    </row>
    <row r="682" ht="12.75" customHeight="1">
      <c r="B682" s="2"/>
      <c r="C682" s="3"/>
    </row>
    <row r="683" ht="12.75" customHeight="1">
      <c r="B683" s="2"/>
      <c r="C683" s="3"/>
    </row>
    <row r="684" ht="12.75" customHeight="1">
      <c r="B684" s="2"/>
      <c r="C684" s="3"/>
    </row>
    <row r="685" ht="12.75" customHeight="1">
      <c r="B685" s="2"/>
      <c r="C685" s="3"/>
    </row>
    <row r="686" ht="12.75" customHeight="1">
      <c r="B686" s="2"/>
      <c r="C686" s="3"/>
    </row>
    <row r="687" ht="12.75" customHeight="1">
      <c r="B687" s="2"/>
      <c r="C687" s="3"/>
    </row>
    <row r="688" ht="12.75" customHeight="1">
      <c r="B688" s="2"/>
      <c r="C688" s="3"/>
    </row>
    <row r="689" ht="12.75" customHeight="1">
      <c r="B689" s="2"/>
      <c r="C689" s="3"/>
    </row>
    <row r="690" ht="12.75" customHeight="1">
      <c r="B690" s="2"/>
      <c r="C690" s="3"/>
    </row>
    <row r="691" ht="12.75" customHeight="1">
      <c r="B691" s="2"/>
      <c r="C691" s="3"/>
    </row>
    <row r="692" ht="12.75" customHeight="1">
      <c r="B692" s="2"/>
      <c r="C692" s="3"/>
    </row>
    <row r="693" ht="12.75" customHeight="1">
      <c r="B693" s="2"/>
      <c r="C693" s="3"/>
    </row>
    <row r="694" ht="12.75" customHeight="1">
      <c r="B694" s="2"/>
      <c r="C694" s="3"/>
    </row>
    <row r="695" ht="12.75" customHeight="1">
      <c r="B695" s="2"/>
      <c r="C695" s="3"/>
    </row>
    <row r="696" ht="12.75" customHeight="1">
      <c r="B696" s="2"/>
      <c r="C696" s="3"/>
    </row>
    <row r="697" ht="12.75" customHeight="1">
      <c r="B697" s="2"/>
      <c r="C697" s="3"/>
    </row>
    <row r="698" ht="12.75" customHeight="1">
      <c r="B698" s="2"/>
      <c r="C698" s="3"/>
    </row>
    <row r="699" ht="12.75" customHeight="1">
      <c r="B699" s="2"/>
      <c r="C699" s="3"/>
    </row>
    <row r="700" ht="12.75" customHeight="1">
      <c r="B700" s="2"/>
      <c r="C700" s="3"/>
    </row>
    <row r="701" ht="12.75" customHeight="1">
      <c r="B701" s="2"/>
      <c r="C701" s="3"/>
    </row>
    <row r="702" ht="12.75" customHeight="1">
      <c r="B702" s="2"/>
      <c r="C702" s="3"/>
    </row>
    <row r="703" ht="12.75" customHeight="1">
      <c r="B703" s="2"/>
      <c r="C703" s="3"/>
    </row>
    <row r="704" ht="12.75" customHeight="1">
      <c r="B704" s="2"/>
      <c r="C704" s="3"/>
    </row>
    <row r="705" ht="12.75" customHeight="1">
      <c r="B705" s="2"/>
      <c r="C705" s="3"/>
    </row>
    <row r="706" ht="12.75" customHeight="1">
      <c r="B706" s="2"/>
      <c r="C706" s="3"/>
    </row>
    <row r="707" ht="12.75" customHeight="1">
      <c r="B707" s="2"/>
      <c r="C707" s="3"/>
    </row>
    <row r="708" ht="12.75" customHeight="1">
      <c r="B708" s="2"/>
      <c r="C708" s="3"/>
    </row>
    <row r="709" ht="12.75" customHeight="1">
      <c r="B709" s="2"/>
      <c r="C709" s="3"/>
    </row>
    <row r="710" ht="12.75" customHeight="1">
      <c r="B710" s="2"/>
      <c r="C710" s="3"/>
    </row>
    <row r="711" ht="12.75" customHeight="1">
      <c r="B711" s="2"/>
      <c r="C711" s="3"/>
    </row>
    <row r="712" ht="12.75" customHeight="1">
      <c r="B712" s="2"/>
      <c r="C712" s="3"/>
    </row>
    <row r="713" ht="12.75" customHeight="1">
      <c r="B713" s="2"/>
      <c r="C713" s="3"/>
    </row>
    <row r="714" ht="12.75" customHeight="1">
      <c r="B714" s="2"/>
      <c r="C714" s="3"/>
    </row>
    <row r="715" ht="12.75" customHeight="1">
      <c r="B715" s="2"/>
      <c r="C715" s="3"/>
    </row>
    <row r="716" ht="12.75" customHeight="1">
      <c r="B716" s="2"/>
      <c r="C716" s="3"/>
    </row>
    <row r="717" ht="12.75" customHeight="1">
      <c r="B717" s="2"/>
      <c r="C717" s="3"/>
    </row>
    <row r="718" ht="12.75" customHeight="1">
      <c r="B718" s="2"/>
      <c r="C718" s="3"/>
    </row>
    <row r="719" ht="12.75" customHeight="1">
      <c r="B719" s="2"/>
      <c r="C719" s="3"/>
    </row>
    <row r="720" ht="12.75" customHeight="1">
      <c r="B720" s="2"/>
      <c r="C720" s="3"/>
    </row>
    <row r="721" ht="12.75" customHeight="1">
      <c r="B721" s="2"/>
      <c r="C721" s="3"/>
    </row>
    <row r="722" ht="12.75" customHeight="1">
      <c r="B722" s="2"/>
      <c r="C722" s="3"/>
    </row>
    <row r="723" ht="12.75" customHeight="1">
      <c r="B723" s="2"/>
      <c r="C723" s="3"/>
    </row>
    <row r="724" ht="12.75" customHeight="1">
      <c r="B724" s="2"/>
      <c r="C724" s="3"/>
    </row>
    <row r="725" ht="12.75" customHeight="1">
      <c r="B725" s="2"/>
      <c r="C725" s="3"/>
    </row>
    <row r="726" ht="12.75" customHeight="1">
      <c r="B726" s="2"/>
      <c r="C726" s="3"/>
    </row>
    <row r="727" ht="12.75" customHeight="1">
      <c r="B727" s="2"/>
      <c r="C727" s="3"/>
    </row>
    <row r="728" ht="12.75" customHeight="1">
      <c r="B728" s="2"/>
      <c r="C728" s="3"/>
    </row>
    <row r="729" ht="12.75" customHeight="1">
      <c r="B729" s="2"/>
      <c r="C729" s="3"/>
    </row>
    <row r="730" ht="12.75" customHeight="1">
      <c r="B730" s="2"/>
      <c r="C730" s="3"/>
    </row>
    <row r="731" ht="12.75" customHeight="1">
      <c r="B731" s="2"/>
      <c r="C731" s="3"/>
    </row>
    <row r="732" ht="12.75" customHeight="1">
      <c r="B732" s="2"/>
      <c r="C732" s="3"/>
    </row>
    <row r="733" ht="12.75" customHeight="1">
      <c r="B733" s="2"/>
      <c r="C733" s="3"/>
    </row>
    <row r="734" ht="12.75" customHeight="1">
      <c r="B734" s="2"/>
      <c r="C734" s="3"/>
    </row>
    <row r="735" ht="12.75" customHeight="1">
      <c r="B735" s="2"/>
      <c r="C735" s="3"/>
    </row>
    <row r="736" ht="12.75" customHeight="1">
      <c r="B736" s="2"/>
      <c r="C736" s="3"/>
    </row>
    <row r="737" ht="12.75" customHeight="1">
      <c r="B737" s="2"/>
      <c r="C737" s="3"/>
    </row>
    <row r="738" ht="12.75" customHeight="1">
      <c r="B738" s="2"/>
      <c r="C738" s="3"/>
    </row>
    <row r="739" ht="12.75" customHeight="1">
      <c r="B739" s="2"/>
      <c r="C739" s="3"/>
    </row>
    <row r="740" ht="12.75" customHeight="1">
      <c r="B740" s="2"/>
      <c r="C740" s="3"/>
    </row>
    <row r="741" ht="12.75" customHeight="1">
      <c r="B741" s="2"/>
      <c r="C741" s="3"/>
    </row>
    <row r="742" ht="12.75" customHeight="1">
      <c r="B742" s="2"/>
      <c r="C742" s="3"/>
    </row>
    <row r="743" ht="12.75" customHeight="1">
      <c r="B743" s="2"/>
      <c r="C743" s="3"/>
    </row>
    <row r="744" ht="12.75" customHeight="1">
      <c r="B744" s="2"/>
      <c r="C744" s="3"/>
    </row>
    <row r="745" ht="12.75" customHeight="1">
      <c r="B745" s="2"/>
      <c r="C745" s="3"/>
    </row>
    <row r="746" ht="12.75" customHeight="1">
      <c r="B746" s="2"/>
      <c r="C746" s="3"/>
    </row>
    <row r="747" ht="12.75" customHeight="1">
      <c r="B747" s="2"/>
      <c r="C747" s="3"/>
    </row>
    <row r="748" ht="12.75" customHeight="1">
      <c r="B748" s="2"/>
      <c r="C748" s="3"/>
    </row>
    <row r="749" ht="12.75" customHeight="1">
      <c r="B749" s="2"/>
      <c r="C749" s="3"/>
    </row>
    <row r="750" ht="12.75" customHeight="1">
      <c r="B750" s="2"/>
      <c r="C750" s="3"/>
    </row>
    <row r="751" ht="12.75" customHeight="1">
      <c r="B751" s="2"/>
      <c r="C751" s="3"/>
    </row>
    <row r="752" ht="12.75" customHeight="1">
      <c r="B752" s="2"/>
      <c r="C752" s="3"/>
    </row>
    <row r="753" ht="12.75" customHeight="1">
      <c r="B753" s="2"/>
      <c r="C753" s="3"/>
    </row>
    <row r="754" ht="12.75" customHeight="1">
      <c r="B754" s="2"/>
      <c r="C754" s="3"/>
    </row>
    <row r="755" ht="12.75" customHeight="1">
      <c r="B755" s="2"/>
      <c r="C755" s="3"/>
    </row>
    <row r="756" ht="12.75" customHeight="1">
      <c r="B756" s="2"/>
      <c r="C756" s="3"/>
    </row>
    <row r="757" ht="12.75" customHeight="1">
      <c r="B757" s="2"/>
      <c r="C757" s="3"/>
    </row>
    <row r="758" ht="12.75" customHeight="1">
      <c r="B758" s="2"/>
      <c r="C758" s="3"/>
    </row>
    <row r="759" ht="12.75" customHeight="1">
      <c r="B759" s="2"/>
      <c r="C759" s="3"/>
    </row>
    <row r="760" ht="12.75" customHeight="1">
      <c r="B760" s="2"/>
      <c r="C760" s="3"/>
    </row>
    <row r="761" ht="12.75" customHeight="1">
      <c r="B761" s="2"/>
      <c r="C761" s="3"/>
    </row>
    <row r="762" ht="12.75" customHeight="1">
      <c r="B762" s="2"/>
      <c r="C762" s="3"/>
    </row>
    <row r="763" ht="12.75" customHeight="1">
      <c r="B763" s="2"/>
      <c r="C763" s="3"/>
    </row>
    <row r="764" ht="12.75" customHeight="1">
      <c r="B764" s="2"/>
      <c r="C764" s="3"/>
    </row>
    <row r="765" ht="12.75" customHeight="1">
      <c r="B765" s="2"/>
      <c r="C765" s="3"/>
    </row>
    <row r="766" ht="12.75" customHeight="1">
      <c r="B766" s="2"/>
      <c r="C766" s="3"/>
    </row>
    <row r="767" ht="12.75" customHeight="1">
      <c r="B767" s="2"/>
      <c r="C767" s="3"/>
    </row>
    <row r="768" ht="12.75" customHeight="1">
      <c r="B768" s="2"/>
      <c r="C768" s="3"/>
    </row>
    <row r="769" ht="12.75" customHeight="1">
      <c r="B769" s="2"/>
      <c r="C769" s="3"/>
    </row>
    <row r="770" ht="12.75" customHeight="1">
      <c r="B770" s="2"/>
      <c r="C770" s="3"/>
    </row>
    <row r="771" ht="12.75" customHeight="1">
      <c r="B771" s="2"/>
      <c r="C771" s="3"/>
    </row>
    <row r="772" ht="12.75" customHeight="1">
      <c r="B772" s="2"/>
      <c r="C772" s="3"/>
    </row>
    <row r="773" ht="12.75" customHeight="1">
      <c r="B773" s="2"/>
      <c r="C773" s="3"/>
    </row>
    <row r="774" ht="12.75" customHeight="1">
      <c r="B774" s="2"/>
      <c r="C774" s="3"/>
    </row>
    <row r="775" ht="12.75" customHeight="1">
      <c r="B775" s="2"/>
      <c r="C775" s="3"/>
    </row>
    <row r="776" ht="12.75" customHeight="1">
      <c r="B776" s="2"/>
      <c r="C776" s="3"/>
    </row>
    <row r="777" ht="12.75" customHeight="1">
      <c r="B777" s="2"/>
      <c r="C777" s="3"/>
    </row>
    <row r="778" ht="12.75" customHeight="1">
      <c r="B778" s="2"/>
      <c r="C778" s="3"/>
    </row>
    <row r="779" ht="12.75" customHeight="1">
      <c r="B779" s="2"/>
      <c r="C779" s="3"/>
    </row>
    <row r="780" ht="12.75" customHeight="1">
      <c r="B780" s="2"/>
      <c r="C780" s="3"/>
    </row>
    <row r="781" ht="12.75" customHeight="1">
      <c r="B781" s="2"/>
      <c r="C781" s="3"/>
    </row>
    <row r="782" ht="12.75" customHeight="1">
      <c r="B782" s="2"/>
      <c r="C782" s="3"/>
    </row>
    <row r="783" ht="12.75" customHeight="1">
      <c r="B783" s="2"/>
      <c r="C783" s="3"/>
    </row>
    <row r="784" ht="12.75" customHeight="1">
      <c r="B784" s="2"/>
      <c r="C784" s="3"/>
    </row>
    <row r="785" ht="12.75" customHeight="1">
      <c r="B785" s="2"/>
      <c r="C785" s="3"/>
    </row>
    <row r="786" ht="12.75" customHeight="1">
      <c r="B786" s="2"/>
      <c r="C786" s="3"/>
    </row>
    <row r="787" ht="12.75" customHeight="1">
      <c r="B787" s="2"/>
      <c r="C787" s="3"/>
    </row>
    <row r="788" ht="12.75" customHeight="1">
      <c r="B788" s="2"/>
      <c r="C788" s="3"/>
    </row>
    <row r="789" ht="12.75" customHeight="1">
      <c r="B789" s="2"/>
      <c r="C789" s="3"/>
    </row>
    <row r="790" ht="12.75" customHeight="1">
      <c r="B790" s="2"/>
      <c r="C790" s="3"/>
    </row>
    <row r="791" ht="12.75" customHeight="1">
      <c r="B791" s="2"/>
      <c r="C791" s="3"/>
    </row>
    <row r="792" ht="12.75" customHeight="1">
      <c r="B792" s="2"/>
      <c r="C792" s="3"/>
    </row>
    <row r="793" ht="12.75" customHeight="1">
      <c r="B793" s="2"/>
      <c r="C793" s="3"/>
    </row>
    <row r="794" ht="12.75" customHeight="1">
      <c r="B794" s="2"/>
      <c r="C794" s="3"/>
    </row>
    <row r="795" ht="12.75" customHeight="1">
      <c r="B795" s="2"/>
      <c r="C795" s="3"/>
    </row>
    <row r="796" ht="12.75" customHeight="1">
      <c r="B796" s="2"/>
      <c r="C796" s="3"/>
    </row>
    <row r="797" ht="12.75" customHeight="1">
      <c r="B797" s="2"/>
      <c r="C797" s="3"/>
    </row>
    <row r="798" ht="12.75" customHeight="1">
      <c r="B798" s="2"/>
      <c r="C798" s="3"/>
    </row>
    <row r="799" ht="12.75" customHeight="1">
      <c r="B799" s="2"/>
      <c r="C799" s="3"/>
    </row>
    <row r="800" ht="12.75" customHeight="1">
      <c r="B800" s="2"/>
      <c r="C800" s="3"/>
    </row>
    <row r="801" ht="12.75" customHeight="1">
      <c r="B801" s="2"/>
      <c r="C801" s="3"/>
    </row>
    <row r="802" ht="12.75" customHeight="1">
      <c r="B802" s="2"/>
      <c r="C802" s="3"/>
    </row>
    <row r="803" ht="12.75" customHeight="1">
      <c r="B803" s="2"/>
      <c r="C803" s="3"/>
    </row>
    <row r="804" ht="12.75" customHeight="1">
      <c r="B804" s="2"/>
      <c r="C804" s="3"/>
    </row>
    <row r="805" ht="12.75" customHeight="1">
      <c r="B805" s="2"/>
      <c r="C805" s="3"/>
    </row>
    <row r="806" ht="12.75" customHeight="1">
      <c r="B806" s="2"/>
      <c r="C806" s="3"/>
    </row>
    <row r="807" ht="12.75" customHeight="1">
      <c r="B807" s="2"/>
      <c r="C807" s="3"/>
    </row>
    <row r="808" ht="12.75" customHeight="1">
      <c r="B808" s="2"/>
      <c r="C808" s="3"/>
    </row>
    <row r="809" ht="12.75" customHeight="1">
      <c r="B809" s="2"/>
      <c r="C809" s="3"/>
    </row>
    <row r="810" ht="12.75" customHeight="1">
      <c r="B810" s="2"/>
      <c r="C810" s="3"/>
    </row>
    <row r="811" ht="12.75" customHeight="1">
      <c r="B811" s="2"/>
      <c r="C811" s="3"/>
    </row>
    <row r="812" ht="12.75" customHeight="1">
      <c r="B812" s="2"/>
      <c r="C812" s="3"/>
    </row>
    <row r="813" ht="12.75" customHeight="1">
      <c r="B813" s="2"/>
      <c r="C813" s="3"/>
    </row>
    <row r="814" ht="12.75" customHeight="1">
      <c r="B814" s="2"/>
      <c r="C814" s="3"/>
    </row>
    <row r="815" ht="12.75" customHeight="1">
      <c r="B815" s="2"/>
      <c r="C815" s="3"/>
    </row>
    <row r="816" ht="12.75" customHeight="1">
      <c r="B816" s="2"/>
      <c r="C816" s="3"/>
    </row>
    <row r="817" ht="12.75" customHeight="1">
      <c r="B817" s="2"/>
      <c r="C817" s="3"/>
    </row>
    <row r="818" ht="12.75" customHeight="1">
      <c r="B818" s="2"/>
      <c r="C818" s="3"/>
    </row>
    <row r="819" ht="12.75" customHeight="1">
      <c r="B819" s="2"/>
      <c r="C819" s="3"/>
    </row>
    <row r="820" ht="12.75" customHeight="1">
      <c r="B820" s="2"/>
      <c r="C820" s="3"/>
    </row>
    <row r="821" ht="12.75" customHeight="1">
      <c r="B821" s="2"/>
      <c r="C821" s="3"/>
    </row>
    <row r="822" ht="12.75" customHeight="1">
      <c r="B822" s="2"/>
      <c r="C822" s="3"/>
    </row>
    <row r="823" ht="12.75" customHeight="1">
      <c r="B823" s="2"/>
      <c r="C823" s="3"/>
    </row>
    <row r="824" ht="12.75" customHeight="1">
      <c r="B824" s="2"/>
      <c r="C824" s="3"/>
    </row>
    <row r="825" ht="12.75" customHeight="1">
      <c r="B825" s="2"/>
      <c r="C825" s="3"/>
    </row>
    <row r="826" ht="12.75" customHeight="1">
      <c r="B826" s="2"/>
      <c r="C826" s="3"/>
    </row>
    <row r="827" ht="12.75" customHeight="1">
      <c r="B827" s="2"/>
      <c r="C827" s="3"/>
    </row>
    <row r="828" ht="12.75" customHeight="1">
      <c r="B828" s="2"/>
      <c r="C828" s="3"/>
    </row>
    <row r="829" ht="12.75" customHeight="1">
      <c r="B829" s="2"/>
      <c r="C829" s="3"/>
    </row>
    <row r="830" ht="12.75" customHeight="1">
      <c r="B830" s="2"/>
      <c r="C830" s="3"/>
    </row>
    <row r="831" ht="12.75" customHeight="1">
      <c r="B831" s="2"/>
      <c r="C831" s="3"/>
    </row>
    <row r="832" ht="12.75" customHeight="1">
      <c r="B832" s="2"/>
      <c r="C832" s="3"/>
    </row>
    <row r="833" ht="12.75" customHeight="1">
      <c r="B833" s="2"/>
      <c r="C833" s="3"/>
    </row>
    <row r="834" ht="12.75" customHeight="1">
      <c r="B834" s="2"/>
      <c r="C834" s="3"/>
    </row>
    <row r="835" ht="12.75" customHeight="1">
      <c r="B835" s="2"/>
      <c r="C835" s="3"/>
    </row>
    <row r="836" ht="12.75" customHeight="1">
      <c r="B836" s="2"/>
      <c r="C836" s="3"/>
    </row>
    <row r="837" ht="12.75" customHeight="1">
      <c r="B837" s="2"/>
      <c r="C837" s="3"/>
    </row>
    <row r="838" ht="12.75" customHeight="1">
      <c r="B838" s="2"/>
      <c r="C838" s="3"/>
    </row>
    <row r="839" ht="12.75" customHeight="1">
      <c r="B839" s="2"/>
      <c r="C839" s="3"/>
    </row>
    <row r="840" ht="12.75" customHeight="1">
      <c r="B840" s="2"/>
      <c r="C840" s="3"/>
    </row>
    <row r="841" ht="12.75" customHeight="1">
      <c r="B841" s="2"/>
      <c r="C841" s="3"/>
    </row>
    <row r="842" ht="12.75" customHeight="1">
      <c r="B842" s="2"/>
      <c r="C842" s="3"/>
    </row>
    <row r="843" ht="12.75" customHeight="1">
      <c r="B843" s="2"/>
      <c r="C843" s="3"/>
    </row>
    <row r="844" ht="12.75" customHeight="1">
      <c r="B844" s="2"/>
      <c r="C844" s="3"/>
    </row>
    <row r="845" ht="12.75" customHeight="1">
      <c r="B845" s="2"/>
      <c r="C845" s="3"/>
    </row>
    <row r="846" ht="12.75" customHeight="1">
      <c r="B846" s="2"/>
      <c r="C846" s="3"/>
    </row>
    <row r="847" ht="12.75" customHeight="1">
      <c r="B847" s="2"/>
      <c r="C847" s="3"/>
    </row>
    <row r="848" ht="12.75" customHeight="1">
      <c r="B848" s="2"/>
      <c r="C848" s="3"/>
    </row>
    <row r="849" ht="12.75" customHeight="1">
      <c r="B849" s="2"/>
      <c r="C849" s="3"/>
    </row>
    <row r="850" ht="12.75" customHeight="1">
      <c r="B850" s="2"/>
      <c r="C850" s="3"/>
    </row>
    <row r="851" ht="12.75" customHeight="1">
      <c r="B851" s="2"/>
      <c r="C851" s="3"/>
    </row>
    <row r="852" ht="12.75" customHeight="1">
      <c r="B852" s="2"/>
      <c r="C852" s="3"/>
    </row>
    <row r="853" ht="12.75" customHeight="1">
      <c r="B853" s="2"/>
      <c r="C853" s="3"/>
    </row>
    <row r="854" ht="12.75" customHeight="1">
      <c r="B854" s="2"/>
      <c r="C854" s="3"/>
    </row>
    <row r="855" ht="12.75" customHeight="1">
      <c r="B855" s="2"/>
      <c r="C855" s="3"/>
    </row>
    <row r="856" ht="12.75" customHeight="1">
      <c r="B856" s="2"/>
      <c r="C856" s="3"/>
    </row>
    <row r="857" ht="12.75" customHeight="1">
      <c r="B857" s="2"/>
      <c r="C857" s="3"/>
    </row>
    <row r="858" ht="12.75" customHeight="1">
      <c r="B858" s="2"/>
      <c r="C858" s="3"/>
    </row>
    <row r="859" ht="12.75" customHeight="1">
      <c r="B859" s="2"/>
      <c r="C859" s="3"/>
    </row>
    <row r="860" ht="12.75" customHeight="1">
      <c r="B860" s="2"/>
      <c r="C860" s="3"/>
    </row>
    <row r="861" ht="12.75" customHeight="1">
      <c r="B861" s="2"/>
      <c r="C861" s="3"/>
    </row>
    <row r="862" ht="12.75" customHeight="1">
      <c r="B862" s="2"/>
      <c r="C862" s="3"/>
    </row>
    <row r="863" ht="12.75" customHeight="1">
      <c r="B863" s="2"/>
      <c r="C863" s="3"/>
    </row>
    <row r="864" ht="12.75" customHeight="1">
      <c r="B864" s="2"/>
      <c r="C864" s="3"/>
    </row>
    <row r="865" ht="12.75" customHeight="1">
      <c r="B865" s="2"/>
      <c r="C865" s="3"/>
    </row>
    <row r="866" ht="12.75" customHeight="1">
      <c r="B866" s="2"/>
      <c r="C866" s="3"/>
    </row>
    <row r="867" ht="12.75" customHeight="1">
      <c r="B867" s="2"/>
      <c r="C867" s="3"/>
    </row>
    <row r="868" ht="12.75" customHeight="1">
      <c r="B868" s="2"/>
      <c r="C868" s="3"/>
    </row>
    <row r="869" ht="12.75" customHeight="1">
      <c r="B869" s="2"/>
      <c r="C869" s="3"/>
    </row>
    <row r="870" ht="12.75" customHeight="1">
      <c r="B870" s="2"/>
      <c r="C870" s="3"/>
    </row>
    <row r="871" ht="12.75" customHeight="1">
      <c r="B871" s="2"/>
      <c r="C871" s="3"/>
    </row>
    <row r="872" ht="12.75" customHeight="1">
      <c r="B872" s="2"/>
      <c r="C872" s="3"/>
    </row>
    <row r="873" ht="12.75" customHeight="1">
      <c r="B873" s="2"/>
      <c r="C873" s="3"/>
    </row>
    <row r="874" ht="12.75" customHeight="1">
      <c r="B874" s="2"/>
      <c r="C874" s="3"/>
    </row>
    <row r="875" ht="12.75" customHeight="1">
      <c r="B875" s="2"/>
      <c r="C875" s="3"/>
    </row>
    <row r="876" ht="12.75" customHeight="1">
      <c r="B876" s="2"/>
      <c r="C876" s="3"/>
    </row>
    <row r="877" ht="12.75" customHeight="1">
      <c r="B877" s="2"/>
      <c r="C877" s="3"/>
    </row>
    <row r="878" ht="12.75" customHeight="1">
      <c r="B878" s="2"/>
      <c r="C878" s="3"/>
    </row>
    <row r="879" ht="12.75" customHeight="1">
      <c r="B879" s="2"/>
      <c r="C879" s="3"/>
    </row>
    <row r="880" ht="12.75" customHeight="1">
      <c r="B880" s="2"/>
      <c r="C880" s="3"/>
    </row>
    <row r="881" ht="12.75" customHeight="1">
      <c r="B881" s="2"/>
      <c r="C881" s="3"/>
    </row>
    <row r="882" ht="12.75" customHeight="1">
      <c r="B882" s="2"/>
      <c r="C882" s="3"/>
    </row>
    <row r="883" ht="12.75" customHeight="1">
      <c r="B883" s="2"/>
      <c r="C883" s="3"/>
    </row>
    <row r="884" ht="12.75" customHeight="1">
      <c r="B884" s="2"/>
      <c r="C884" s="3"/>
    </row>
    <row r="885" ht="12.75" customHeight="1">
      <c r="B885" s="2"/>
      <c r="C885" s="3"/>
    </row>
    <row r="886" ht="12.75" customHeight="1">
      <c r="B886" s="2"/>
      <c r="C886" s="3"/>
    </row>
    <row r="887" ht="12.75" customHeight="1">
      <c r="B887" s="2"/>
      <c r="C887" s="3"/>
    </row>
    <row r="888" ht="12.75" customHeight="1">
      <c r="B888" s="2"/>
      <c r="C888" s="3"/>
    </row>
    <row r="889" ht="12.75" customHeight="1">
      <c r="B889" s="2"/>
      <c r="C889" s="3"/>
    </row>
    <row r="890" ht="12.75" customHeight="1">
      <c r="B890" s="2"/>
      <c r="C890" s="3"/>
    </row>
    <row r="891" ht="12.75" customHeight="1">
      <c r="B891" s="2"/>
      <c r="C891" s="3"/>
    </row>
    <row r="892" ht="12.75" customHeight="1">
      <c r="B892" s="2"/>
      <c r="C892" s="3"/>
    </row>
    <row r="893" ht="12.75" customHeight="1">
      <c r="B893" s="2"/>
      <c r="C893" s="3"/>
    </row>
    <row r="894" ht="12.75" customHeight="1">
      <c r="B894" s="2"/>
      <c r="C894" s="3"/>
    </row>
    <row r="895" ht="12.75" customHeight="1">
      <c r="B895" s="2"/>
      <c r="C895" s="3"/>
    </row>
    <row r="896" ht="12.75" customHeight="1">
      <c r="B896" s="2"/>
      <c r="C896" s="3"/>
    </row>
    <row r="897" ht="12.75" customHeight="1">
      <c r="B897" s="2"/>
      <c r="C897" s="3"/>
    </row>
    <row r="898" ht="12.75" customHeight="1">
      <c r="B898" s="2"/>
      <c r="C898" s="3"/>
    </row>
    <row r="899" ht="12.75" customHeight="1">
      <c r="B899" s="2"/>
      <c r="C899" s="3"/>
    </row>
    <row r="900" ht="12.75" customHeight="1">
      <c r="B900" s="2"/>
      <c r="C900" s="3"/>
    </row>
    <row r="901" ht="12.75" customHeight="1">
      <c r="B901" s="2"/>
      <c r="C901" s="3"/>
    </row>
    <row r="902" ht="12.75" customHeight="1">
      <c r="B902" s="2"/>
      <c r="C902" s="3"/>
    </row>
    <row r="903" ht="12.75" customHeight="1">
      <c r="B903" s="2"/>
      <c r="C903" s="3"/>
    </row>
    <row r="904" ht="12.75" customHeight="1">
      <c r="B904" s="2"/>
      <c r="C904" s="3"/>
    </row>
    <row r="905" ht="12.75" customHeight="1">
      <c r="B905" s="2"/>
      <c r="C905" s="3"/>
    </row>
    <row r="906" ht="12.75" customHeight="1">
      <c r="B906" s="2"/>
      <c r="C906" s="3"/>
    </row>
    <row r="907" ht="12.75" customHeight="1">
      <c r="B907" s="2"/>
      <c r="C907" s="3"/>
    </row>
    <row r="908" ht="12.75" customHeight="1">
      <c r="B908" s="2"/>
      <c r="C908" s="3"/>
    </row>
    <row r="909" ht="12.75" customHeight="1">
      <c r="B909" s="2"/>
      <c r="C909" s="3"/>
    </row>
    <row r="910" ht="12.75" customHeight="1">
      <c r="B910" s="2"/>
      <c r="C910" s="3"/>
    </row>
    <row r="911" ht="12.75" customHeight="1">
      <c r="B911" s="2"/>
      <c r="C911" s="3"/>
    </row>
    <row r="912" ht="12.75" customHeight="1">
      <c r="B912" s="2"/>
      <c r="C912" s="3"/>
    </row>
    <row r="913" ht="12.75" customHeight="1">
      <c r="B913" s="2"/>
      <c r="C913" s="3"/>
    </row>
    <row r="914" ht="12.75" customHeight="1">
      <c r="B914" s="2"/>
      <c r="C914" s="3"/>
    </row>
    <row r="915" ht="12.75" customHeight="1">
      <c r="B915" s="2"/>
      <c r="C915" s="3"/>
    </row>
    <row r="916" ht="12.75" customHeight="1">
      <c r="B916" s="2"/>
      <c r="C916" s="3"/>
    </row>
    <row r="917" ht="12.75" customHeight="1">
      <c r="B917" s="2"/>
      <c r="C917" s="3"/>
    </row>
    <row r="918" ht="12.75" customHeight="1">
      <c r="B918" s="2"/>
      <c r="C918" s="3"/>
    </row>
    <row r="919" ht="12.75" customHeight="1">
      <c r="B919" s="2"/>
      <c r="C919" s="3"/>
    </row>
    <row r="920" ht="12.75" customHeight="1">
      <c r="B920" s="2"/>
      <c r="C920" s="3"/>
    </row>
    <row r="921" ht="12.75" customHeight="1">
      <c r="B921" s="2"/>
      <c r="C921" s="3"/>
    </row>
    <row r="922" ht="12.75" customHeight="1">
      <c r="B922" s="2"/>
      <c r="C922" s="3"/>
    </row>
    <row r="923" ht="12.75" customHeight="1">
      <c r="B923" s="2"/>
      <c r="C923" s="3"/>
    </row>
    <row r="924" ht="12.75" customHeight="1">
      <c r="B924" s="2"/>
      <c r="C924" s="3"/>
    </row>
    <row r="925" ht="12.75" customHeight="1">
      <c r="B925" s="2"/>
      <c r="C925" s="3"/>
    </row>
    <row r="926" ht="12.75" customHeight="1">
      <c r="B926" s="2"/>
      <c r="C926" s="3"/>
    </row>
    <row r="927" ht="12.75" customHeight="1">
      <c r="B927" s="2"/>
      <c r="C927" s="3"/>
    </row>
    <row r="928" ht="12.75" customHeight="1">
      <c r="B928" s="2"/>
      <c r="C928" s="3"/>
    </row>
    <row r="929" ht="12.75" customHeight="1">
      <c r="B929" s="2"/>
      <c r="C929" s="3"/>
    </row>
    <row r="930" ht="12.75" customHeight="1">
      <c r="B930" s="2"/>
      <c r="C930" s="3"/>
    </row>
    <row r="931" ht="12.75" customHeight="1">
      <c r="B931" s="2"/>
      <c r="C931" s="3"/>
    </row>
    <row r="932" ht="12.75" customHeight="1">
      <c r="B932" s="2"/>
      <c r="C932" s="3"/>
    </row>
    <row r="933" ht="12.75" customHeight="1">
      <c r="B933" s="2"/>
      <c r="C933" s="3"/>
    </row>
    <row r="934" ht="12.75" customHeight="1">
      <c r="B934" s="2"/>
      <c r="C934" s="3"/>
    </row>
    <row r="935" ht="12.75" customHeight="1">
      <c r="B935" s="2"/>
      <c r="C935" s="3"/>
    </row>
    <row r="936" ht="12.75" customHeight="1">
      <c r="B936" s="2"/>
      <c r="C936" s="3"/>
    </row>
    <row r="937" ht="12.75" customHeight="1">
      <c r="B937" s="2"/>
      <c r="C937" s="3"/>
    </row>
    <row r="938" ht="12.75" customHeight="1">
      <c r="B938" s="2"/>
      <c r="C938" s="3"/>
    </row>
    <row r="939" ht="12.75" customHeight="1">
      <c r="B939" s="2"/>
      <c r="C939" s="3"/>
    </row>
    <row r="940" ht="12.75" customHeight="1">
      <c r="B940" s="2"/>
      <c r="C940" s="3"/>
    </row>
    <row r="941" ht="12.75" customHeight="1">
      <c r="B941" s="2"/>
      <c r="C941" s="3"/>
    </row>
    <row r="942" ht="12.75" customHeight="1">
      <c r="B942" s="2"/>
      <c r="C942" s="3"/>
    </row>
    <row r="943" ht="12.75" customHeight="1">
      <c r="B943" s="2"/>
      <c r="C943" s="3"/>
    </row>
    <row r="944" ht="12.75" customHeight="1">
      <c r="B944" s="2"/>
      <c r="C944" s="3"/>
    </row>
    <row r="945" ht="12.75" customHeight="1">
      <c r="B945" s="2"/>
      <c r="C945" s="3"/>
    </row>
    <row r="946" ht="12.75" customHeight="1">
      <c r="B946" s="2"/>
      <c r="C946" s="3"/>
    </row>
    <row r="947" ht="12.75" customHeight="1">
      <c r="B947" s="2"/>
      <c r="C947" s="3"/>
    </row>
    <row r="948" ht="12.75" customHeight="1">
      <c r="B948" s="2"/>
      <c r="C948" s="3"/>
    </row>
    <row r="949" ht="12.75" customHeight="1">
      <c r="B949" s="2"/>
      <c r="C949" s="3"/>
    </row>
    <row r="950" ht="12.75" customHeight="1">
      <c r="B950" s="2"/>
      <c r="C950" s="3"/>
    </row>
    <row r="951" ht="12.75" customHeight="1">
      <c r="B951" s="2"/>
      <c r="C951" s="3"/>
    </row>
    <row r="952" ht="12.75" customHeight="1">
      <c r="B952" s="2"/>
      <c r="C952" s="3"/>
    </row>
    <row r="953" ht="12.75" customHeight="1">
      <c r="B953" s="2"/>
      <c r="C953" s="3"/>
    </row>
    <row r="954" ht="12.75" customHeight="1">
      <c r="B954" s="2"/>
      <c r="C954" s="3"/>
    </row>
    <row r="955" ht="12.75" customHeight="1">
      <c r="B955" s="2"/>
      <c r="C955" s="3"/>
    </row>
    <row r="956" ht="12.75" customHeight="1">
      <c r="B956" s="2"/>
      <c r="C956" s="3"/>
    </row>
    <row r="957" ht="12.75" customHeight="1">
      <c r="B957" s="2"/>
      <c r="C957" s="3"/>
    </row>
    <row r="958" ht="12.75" customHeight="1">
      <c r="B958" s="2"/>
      <c r="C958" s="3"/>
    </row>
    <row r="959" ht="12.75" customHeight="1">
      <c r="B959" s="2"/>
      <c r="C959" s="3"/>
    </row>
    <row r="960" ht="12.75" customHeight="1">
      <c r="B960" s="2"/>
      <c r="C960" s="3"/>
    </row>
    <row r="961" ht="12.75" customHeight="1">
      <c r="B961" s="2"/>
      <c r="C961" s="3"/>
    </row>
    <row r="962" ht="12.75" customHeight="1">
      <c r="B962" s="2"/>
      <c r="C962" s="3"/>
    </row>
    <row r="963" ht="12.75" customHeight="1">
      <c r="B963" s="2"/>
      <c r="C963" s="3"/>
    </row>
    <row r="964" ht="12.75" customHeight="1">
      <c r="B964" s="2"/>
      <c r="C964" s="3"/>
    </row>
    <row r="965" ht="12.75" customHeight="1">
      <c r="B965" s="2"/>
      <c r="C965" s="3"/>
    </row>
    <row r="966" ht="12.75" customHeight="1">
      <c r="B966" s="2"/>
      <c r="C966" s="3"/>
    </row>
    <row r="967" ht="12.75" customHeight="1">
      <c r="B967" s="2"/>
      <c r="C967" s="3"/>
    </row>
    <row r="968" ht="12.75" customHeight="1">
      <c r="B968" s="2"/>
      <c r="C968" s="3"/>
    </row>
    <row r="969" ht="12.75" customHeight="1">
      <c r="B969" s="2"/>
      <c r="C969" s="3"/>
    </row>
    <row r="970" ht="12.75" customHeight="1">
      <c r="B970" s="2"/>
      <c r="C970" s="3"/>
    </row>
    <row r="971" ht="12.75" customHeight="1">
      <c r="B971" s="2"/>
      <c r="C971" s="3"/>
    </row>
    <row r="972" ht="12.75" customHeight="1">
      <c r="B972" s="2"/>
      <c r="C972" s="3"/>
    </row>
    <row r="973" ht="12.75" customHeight="1">
      <c r="B973" s="2"/>
      <c r="C973" s="3"/>
    </row>
    <row r="974" ht="12.75" customHeight="1">
      <c r="B974" s="2"/>
      <c r="C974" s="3"/>
    </row>
    <row r="975" ht="12.75" customHeight="1">
      <c r="B975" s="2"/>
      <c r="C975" s="3"/>
    </row>
    <row r="976" ht="12.75" customHeight="1">
      <c r="B976" s="2"/>
      <c r="C976" s="3"/>
    </row>
    <row r="977" ht="12.75" customHeight="1">
      <c r="B977" s="2"/>
      <c r="C977" s="3"/>
    </row>
    <row r="978" ht="12.75" customHeight="1">
      <c r="B978" s="2"/>
      <c r="C978" s="3"/>
    </row>
    <row r="979" ht="12.75" customHeight="1">
      <c r="B979" s="2"/>
      <c r="C979" s="3"/>
    </row>
    <row r="980" ht="12.75" customHeight="1">
      <c r="B980" s="2"/>
      <c r="C980" s="3"/>
    </row>
    <row r="981" ht="12.75" customHeight="1">
      <c r="B981" s="2"/>
      <c r="C981" s="3"/>
    </row>
    <row r="982" ht="12.75" customHeight="1">
      <c r="B982" s="2"/>
      <c r="C982" s="3"/>
    </row>
    <row r="983" ht="12.75" customHeight="1">
      <c r="B983" s="2"/>
      <c r="C983" s="3"/>
    </row>
    <row r="984" ht="12.75" customHeight="1">
      <c r="B984" s="2"/>
      <c r="C984" s="3"/>
    </row>
    <row r="985" ht="12.75" customHeight="1">
      <c r="B985" s="2"/>
      <c r="C985" s="3"/>
    </row>
    <row r="986" ht="12.75" customHeight="1">
      <c r="B986" s="2"/>
      <c r="C986" s="3"/>
    </row>
    <row r="987" ht="12.75" customHeight="1">
      <c r="B987" s="2"/>
      <c r="C987" s="3"/>
    </row>
    <row r="988" ht="12.75" customHeight="1">
      <c r="B988" s="2"/>
      <c r="C988" s="3"/>
    </row>
    <row r="989" ht="12.75" customHeight="1">
      <c r="B989" s="2"/>
      <c r="C989" s="3"/>
    </row>
    <row r="990" ht="12.75" customHeight="1">
      <c r="B990" s="2"/>
      <c r="C990" s="3"/>
    </row>
    <row r="991" ht="12.75" customHeight="1">
      <c r="B991" s="2"/>
      <c r="C991" s="3"/>
    </row>
    <row r="992" ht="12.75" customHeight="1">
      <c r="B992" s="2"/>
      <c r="C992" s="3"/>
    </row>
    <row r="993" ht="12.75" customHeight="1">
      <c r="B993" s="2"/>
      <c r="C993" s="3"/>
    </row>
    <row r="994" ht="12.75" customHeight="1">
      <c r="B994" s="2"/>
      <c r="C994" s="3"/>
    </row>
    <row r="995" ht="12.75" customHeight="1">
      <c r="B995" s="2"/>
      <c r="C995" s="3"/>
    </row>
    <row r="996" ht="12.75" customHeight="1">
      <c r="B996" s="2"/>
      <c r="C996" s="3"/>
    </row>
    <row r="997" ht="12.75" customHeight="1">
      <c r="B997" s="2"/>
      <c r="C997" s="3"/>
    </row>
    <row r="998" ht="12.75" customHeight="1">
      <c r="B998" s="2"/>
      <c r="C998" s="3"/>
    </row>
    <row r="999" ht="12.75" customHeight="1">
      <c r="B999" s="2"/>
      <c r="C999" s="3"/>
    </row>
    <row r="1000" ht="12.75" customHeight="1">
      <c r="B1000" s="2"/>
      <c r="C1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</v>
      </c>
      <c r="H1" s="1" t="s">
        <v>2</v>
      </c>
      <c r="I1" s="1" t="s">
        <v>3</v>
      </c>
      <c r="J1" s="1"/>
      <c r="K1" s="1" t="s">
        <v>5</v>
      </c>
      <c r="L1" s="1" t="s">
        <v>1</v>
      </c>
      <c r="M1" s="1" t="s">
        <v>2</v>
      </c>
      <c r="N1" s="1" t="s">
        <v>3</v>
      </c>
      <c r="O1" s="1" t="s">
        <v>6</v>
      </c>
      <c r="Q1" s="1"/>
      <c r="R1" s="1"/>
    </row>
    <row r="2">
      <c r="A2" s="2" t="s">
        <v>7</v>
      </c>
      <c r="B2" s="13">
        <v>0.0</v>
      </c>
      <c r="C2" s="11">
        <f>-122.883766174316+360</f>
        <v>237.1162338</v>
      </c>
      <c r="D2" s="3">
        <f t="shared" ref="D2:D30" si="1">SQRT((O3 - B2)^2 + (P3 - C2)^2)</f>
        <v>116.6272393</v>
      </c>
      <c r="F2" s="2" t="s">
        <v>7</v>
      </c>
      <c r="G2" s="13">
        <v>0.0</v>
      </c>
      <c r="H2" s="11">
        <f>-62.670280456543+360</f>
        <v>297.3297195</v>
      </c>
      <c r="I2" s="3">
        <f t="shared" ref="I2:I30" si="2">SQRT((O3 - G2)^2 + (P3 - H2)^2)</f>
        <v>169.5821933</v>
      </c>
      <c r="K2" s="2" t="s">
        <v>7</v>
      </c>
      <c r="L2" s="13">
        <v>0.0</v>
      </c>
      <c r="M2" s="11">
        <f>-78.2061386108398+360</f>
        <v>281.7938614</v>
      </c>
      <c r="N2" s="3">
        <f t="shared" ref="N2:N30" si="3">SQRT((O3 - L2)^2 + (P3 - M2)^2)</f>
        <v>155.4140196</v>
      </c>
      <c r="O2" s="1" t="s">
        <v>1</v>
      </c>
      <c r="P2" s="1" t="s">
        <v>2</v>
      </c>
      <c r="Q2" s="1"/>
      <c r="R2" s="1"/>
      <c r="S2" s="1"/>
    </row>
    <row r="3">
      <c r="A3" s="2" t="s">
        <v>7</v>
      </c>
      <c r="B3" s="13">
        <v>76.7040100097656</v>
      </c>
      <c r="C3" s="13">
        <v>161.143096923828</v>
      </c>
      <c r="D3" s="3">
        <f t="shared" si="1"/>
        <v>144.6531497</v>
      </c>
      <c r="F3" s="2" t="s">
        <v>7</v>
      </c>
      <c r="G3" s="13">
        <v>-77.7338943481445</v>
      </c>
      <c r="H3" s="13">
        <v>-41.0825576782227</v>
      </c>
      <c r="I3" s="3">
        <f t="shared" si="2"/>
        <v>182.7915429</v>
      </c>
      <c r="K3" s="2" t="s">
        <v>7</v>
      </c>
      <c r="L3" s="13">
        <v>94.1368637084961</v>
      </c>
      <c r="M3" s="21">
        <v>16.2751750946045</v>
      </c>
      <c r="N3" s="3">
        <f t="shared" si="3"/>
        <v>203.6712836</v>
      </c>
      <c r="O3" s="7">
        <v>-66.59121237860785</v>
      </c>
      <c r="P3" s="7">
        <v>141.36904907226565</v>
      </c>
      <c r="S3" s="16"/>
    </row>
    <row r="4">
      <c r="A4" s="2" t="s">
        <v>10</v>
      </c>
      <c r="B4" s="13">
        <v>55.4039115905762</v>
      </c>
      <c r="C4" s="13">
        <v>10.8882846832275</v>
      </c>
      <c r="D4" s="3">
        <f t="shared" si="1"/>
        <v>178.6282177</v>
      </c>
      <c r="F4" s="2" t="s">
        <v>10</v>
      </c>
      <c r="G4" s="13">
        <v>81.8519515991211</v>
      </c>
      <c r="H4" s="13">
        <v>17.5884304046631</v>
      </c>
      <c r="I4" s="3">
        <f t="shared" si="2"/>
        <v>193.2796277</v>
      </c>
      <c r="K4" s="2" t="s">
        <v>10</v>
      </c>
      <c r="L4" s="13">
        <v>-122.537803649902</v>
      </c>
      <c r="M4" s="13">
        <v>147.652130126953</v>
      </c>
      <c r="N4" s="3">
        <f t="shared" si="3"/>
        <v>56.29829644</v>
      </c>
      <c r="O4" s="7">
        <v>-66.59121237860785</v>
      </c>
      <c r="P4" s="7">
        <v>141.36904907226565</v>
      </c>
    </row>
    <row r="5">
      <c r="A5" s="2" t="s">
        <v>7</v>
      </c>
      <c r="B5" s="13">
        <v>-71.4567565917969</v>
      </c>
      <c r="C5" s="11">
        <f>-154.232086181641+360</f>
        <v>205.7679138</v>
      </c>
      <c r="D5" s="3">
        <f t="shared" si="1"/>
        <v>64.58240706</v>
      </c>
      <c r="F5" s="2" t="s">
        <v>7</v>
      </c>
      <c r="G5" s="13">
        <v>-73.4521789550781</v>
      </c>
      <c r="H5" s="11">
        <f>-168.279037475586+360</f>
        <v>191.7209625</v>
      </c>
      <c r="I5" s="3">
        <f t="shared" si="2"/>
        <v>50.81720231</v>
      </c>
      <c r="K5" s="2" t="s">
        <v>7</v>
      </c>
      <c r="L5" s="13">
        <v>88.222038269043</v>
      </c>
      <c r="M5" s="13">
        <v>172.679901123047</v>
      </c>
      <c r="N5" s="3">
        <f t="shared" si="3"/>
        <v>157.9478143</v>
      </c>
      <c r="O5" s="7">
        <v>-66.59121237860785</v>
      </c>
      <c r="P5" s="7">
        <v>141.36904907226565</v>
      </c>
    </row>
    <row r="6">
      <c r="A6" s="2" t="s">
        <v>7</v>
      </c>
      <c r="B6" s="13">
        <v>-53.5697326660156</v>
      </c>
      <c r="C6" s="13">
        <v>166.30989074707</v>
      </c>
      <c r="D6" s="3">
        <f t="shared" si="1"/>
        <v>28.13546725</v>
      </c>
      <c r="F6" s="2" t="s">
        <v>7</v>
      </c>
      <c r="G6" s="13">
        <v>-54.3523864746094</v>
      </c>
      <c r="H6" s="13">
        <v>175.477844238281</v>
      </c>
      <c r="I6" s="3">
        <f t="shared" si="2"/>
        <v>36.23808449</v>
      </c>
      <c r="K6" s="2" t="s">
        <v>7</v>
      </c>
      <c r="L6" s="13">
        <v>-73.3422241210937</v>
      </c>
      <c r="M6" s="11">
        <f>-171.430450439453+360</f>
        <v>188.5695496</v>
      </c>
      <c r="N6" s="3">
        <f t="shared" si="3"/>
        <v>47.68084947</v>
      </c>
      <c r="O6" s="7">
        <v>-66.59121237860785</v>
      </c>
      <c r="P6" s="7">
        <v>141.36904907226565</v>
      </c>
    </row>
    <row r="7">
      <c r="A7" s="2" t="s">
        <v>7</v>
      </c>
      <c r="B7" s="13">
        <v>-74.0780410766602</v>
      </c>
      <c r="C7" s="13">
        <v>170.977905273438</v>
      </c>
      <c r="D7" s="3">
        <f t="shared" si="1"/>
        <v>30.54074278</v>
      </c>
      <c r="F7" s="2" t="s">
        <v>7</v>
      </c>
      <c r="G7" s="13">
        <v>-84.3396072387695</v>
      </c>
      <c r="H7" s="11">
        <f>-113.516250610352+360</f>
        <v>246.4837494</v>
      </c>
      <c r="I7" s="3">
        <f t="shared" si="2"/>
        <v>106.6025597</v>
      </c>
      <c r="K7" s="2" t="s">
        <v>7</v>
      </c>
      <c r="L7" s="13">
        <v>-66.9776611328125</v>
      </c>
      <c r="M7" s="13">
        <v>166.107482910156</v>
      </c>
      <c r="N7" s="3">
        <f t="shared" si="3"/>
        <v>24.74145209</v>
      </c>
      <c r="O7" s="7">
        <v>-66.59121237860785</v>
      </c>
      <c r="P7" s="7">
        <v>141.36904907226565</v>
      </c>
    </row>
    <row r="8">
      <c r="A8" s="2" t="s">
        <v>8</v>
      </c>
      <c r="B8" s="13">
        <v>-48.3138542175293</v>
      </c>
      <c r="C8" s="13">
        <v>139.010772705078</v>
      </c>
      <c r="D8" s="3">
        <f t="shared" si="1"/>
        <v>18.42887107</v>
      </c>
      <c r="F8" s="2" t="s">
        <v>8</v>
      </c>
      <c r="G8" s="13">
        <v>-40.6461372375488</v>
      </c>
      <c r="H8" s="13">
        <v>141.855438232422</v>
      </c>
      <c r="I8" s="3">
        <f t="shared" si="2"/>
        <v>25.94963388</v>
      </c>
      <c r="K8" s="2" t="s">
        <v>8</v>
      </c>
      <c r="L8" s="13">
        <v>-33.3880882263184</v>
      </c>
      <c r="M8" s="13">
        <v>134.812408447266</v>
      </c>
      <c r="N8" s="3">
        <f t="shared" si="3"/>
        <v>33.84430513</v>
      </c>
      <c r="O8" s="7">
        <v>-66.59121237860785</v>
      </c>
      <c r="P8" s="7">
        <v>141.36904907226565</v>
      </c>
    </row>
    <row r="9">
      <c r="A9" s="2" t="s">
        <v>19</v>
      </c>
      <c r="B9" s="13">
        <v>-56.3740692138672</v>
      </c>
      <c r="C9" s="13">
        <v>125.039840698242</v>
      </c>
      <c r="D9" s="3">
        <f t="shared" si="1"/>
        <v>19.26221847</v>
      </c>
      <c r="F9" s="2" t="s">
        <v>19</v>
      </c>
      <c r="G9" s="13">
        <v>-69.7632141113281</v>
      </c>
      <c r="H9" s="13">
        <v>145.257171630859</v>
      </c>
      <c r="I9" s="3">
        <f t="shared" si="2"/>
        <v>5.017877243</v>
      </c>
      <c r="K9" s="2" t="s">
        <v>19</v>
      </c>
      <c r="L9" s="13">
        <v>-61.0690841674805</v>
      </c>
      <c r="M9" s="13">
        <v>132.42414855957</v>
      </c>
      <c r="N9" s="3">
        <f t="shared" si="3"/>
        <v>10.51214275</v>
      </c>
      <c r="O9" s="7">
        <v>-66.59121237860785</v>
      </c>
      <c r="P9" s="7">
        <v>141.36904907226565</v>
      </c>
    </row>
    <row r="10">
      <c r="A10" s="2" t="s">
        <v>7</v>
      </c>
      <c r="B10" s="13">
        <v>-58.0388984680176</v>
      </c>
      <c r="C10" s="13">
        <v>178.677841186523</v>
      </c>
      <c r="D10" s="3">
        <f t="shared" si="1"/>
        <v>38.27646852</v>
      </c>
      <c r="F10" s="2" t="s">
        <v>7</v>
      </c>
      <c r="G10" s="13">
        <v>-65.0874328613281</v>
      </c>
      <c r="H10" s="13">
        <v>165.777160644531</v>
      </c>
      <c r="I10" s="3">
        <f t="shared" si="2"/>
        <v>24.45439149</v>
      </c>
      <c r="K10" s="2" t="s">
        <v>7</v>
      </c>
      <c r="L10" s="13">
        <v>-58.4302062988281</v>
      </c>
      <c r="M10" s="13">
        <v>147.241622924805</v>
      </c>
      <c r="N10" s="3">
        <f t="shared" si="3"/>
        <v>10.05430972</v>
      </c>
      <c r="O10" s="7">
        <v>-66.59121237860785</v>
      </c>
      <c r="P10" s="7">
        <v>141.36904907226565</v>
      </c>
    </row>
    <row r="11">
      <c r="A11" s="2" t="s">
        <v>8</v>
      </c>
      <c r="B11" s="13">
        <v>-58.1606597900391</v>
      </c>
      <c r="C11" s="13">
        <v>138.389678955078</v>
      </c>
      <c r="D11" s="3">
        <f t="shared" si="1"/>
        <v>8.94152466</v>
      </c>
      <c r="F11" s="2" t="s">
        <v>8</v>
      </c>
      <c r="G11" s="13">
        <v>-61.5484962463379</v>
      </c>
      <c r="H11" s="13">
        <v>146.752792358398</v>
      </c>
      <c r="I11" s="3">
        <f t="shared" si="2"/>
        <v>7.376562734</v>
      </c>
      <c r="K11" s="2" t="s">
        <v>8</v>
      </c>
      <c r="L11" s="13">
        <v>-34.1463661193848</v>
      </c>
      <c r="M11" s="13">
        <v>146.955932617188</v>
      </c>
      <c r="N11" s="3">
        <f t="shared" si="3"/>
        <v>32.92235284</v>
      </c>
      <c r="O11" s="7">
        <v>-66.59121237860785</v>
      </c>
      <c r="P11" s="7">
        <v>141.36904907226565</v>
      </c>
    </row>
    <row r="12">
      <c r="A12" s="2" t="s">
        <v>8</v>
      </c>
      <c r="B12" s="13">
        <v>-40.6201515197754</v>
      </c>
      <c r="C12" s="13">
        <v>143.068237304688</v>
      </c>
      <c r="D12" s="3">
        <f t="shared" si="1"/>
        <v>26.02658723</v>
      </c>
      <c r="F12" s="2" t="s">
        <v>8</v>
      </c>
      <c r="G12" s="13">
        <v>-39.0284233093262</v>
      </c>
      <c r="H12" s="13">
        <v>141.777267456055</v>
      </c>
      <c r="I12" s="3">
        <f t="shared" si="2"/>
        <v>27.56581186</v>
      </c>
      <c r="K12" s="2" t="s">
        <v>8</v>
      </c>
      <c r="L12" s="13">
        <v>-50.818244934082</v>
      </c>
      <c r="M12" s="13">
        <v>134.366348266602</v>
      </c>
      <c r="N12" s="3">
        <f t="shared" si="3"/>
        <v>17.25758733</v>
      </c>
      <c r="O12" s="7">
        <v>-66.59121237860785</v>
      </c>
      <c r="P12" s="7">
        <v>141.36904907226565</v>
      </c>
    </row>
    <row r="13">
      <c r="A13" s="2" t="s">
        <v>7</v>
      </c>
      <c r="B13" s="13">
        <v>-66.4668273925781</v>
      </c>
      <c r="C13" s="13">
        <v>176.763977050781</v>
      </c>
      <c r="D13" s="3">
        <f t="shared" si="1"/>
        <v>35.39514653</v>
      </c>
      <c r="F13" s="2" t="s">
        <v>7</v>
      </c>
      <c r="G13" s="13">
        <v>-68.5263137817383</v>
      </c>
      <c r="H13" s="13">
        <v>171.437393188477</v>
      </c>
      <c r="I13" s="3">
        <f t="shared" si="2"/>
        <v>30.13054821</v>
      </c>
      <c r="K13" s="2" t="s">
        <v>7</v>
      </c>
      <c r="L13" s="13">
        <v>-64.5342330932617</v>
      </c>
      <c r="M13" s="11">
        <f>-173.102905273438+360</f>
        <v>186.8970947</v>
      </c>
      <c r="N13" s="3">
        <f t="shared" si="3"/>
        <v>45.57448963</v>
      </c>
      <c r="O13" s="7">
        <v>-66.59121237860785</v>
      </c>
      <c r="P13" s="7">
        <v>141.36904907226565</v>
      </c>
    </row>
    <row r="14">
      <c r="A14" s="2" t="s">
        <v>8</v>
      </c>
      <c r="B14" s="13">
        <v>-48.944465637207</v>
      </c>
      <c r="C14" s="13">
        <v>132.218658447266</v>
      </c>
      <c r="D14" s="3">
        <f t="shared" si="1"/>
        <v>19.87806125</v>
      </c>
      <c r="F14" s="2" t="s">
        <v>8</v>
      </c>
      <c r="G14" s="13">
        <v>-48.4068794250488</v>
      </c>
      <c r="H14" s="13">
        <v>149.55436706543</v>
      </c>
      <c r="I14" s="3">
        <f t="shared" si="2"/>
        <v>19.94164977</v>
      </c>
      <c r="K14" s="2" t="s">
        <v>8</v>
      </c>
      <c r="L14" s="13">
        <v>-83.3362426757813</v>
      </c>
      <c r="M14" s="13">
        <v>160.671447753906</v>
      </c>
      <c r="N14" s="3">
        <f t="shared" si="3"/>
        <v>25.55344663</v>
      </c>
      <c r="O14" s="7">
        <v>-66.59121237860785</v>
      </c>
      <c r="P14" s="7">
        <v>141.36904907226565</v>
      </c>
    </row>
    <row r="15">
      <c r="A15" s="2" t="s">
        <v>8</v>
      </c>
      <c r="B15" s="13">
        <v>-36.231761932373</v>
      </c>
      <c r="C15" s="13">
        <v>139.743087768555</v>
      </c>
      <c r="D15" s="3">
        <f t="shared" si="1"/>
        <v>30.40296008</v>
      </c>
      <c r="F15" s="2" t="s">
        <v>8</v>
      </c>
      <c r="G15" s="13">
        <v>-58.4013290405273</v>
      </c>
      <c r="H15" s="13">
        <v>147.63134765625</v>
      </c>
      <c r="I15" s="3">
        <f t="shared" si="2"/>
        <v>10.30973194</v>
      </c>
      <c r="K15" s="2" t="s">
        <v>8</v>
      </c>
      <c r="L15" s="13">
        <v>-42.8709411621094</v>
      </c>
      <c r="M15" s="13">
        <v>144.301559448242</v>
      </c>
      <c r="N15" s="3">
        <f t="shared" si="3"/>
        <v>23.90085529</v>
      </c>
      <c r="O15" s="7">
        <v>-66.59121237860785</v>
      </c>
      <c r="P15" s="7">
        <v>141.36904907226565</v>
      </c>
    </row>
    <row r="16">
      <c r="A16" s="2" t="s">
        <v>7</v>
      </c>
      <c r="B16" s="13">
        <v>-63.4369621276855</v>
      </c>
      <c r="C16" s="13">
        <v>176.489929199219</v>
      </c>
      <c r="D16" s="3">
        <f t="shared" si="1"/>
        <v>35.26223923</v>
      </c>
      <c r="F16" s="2" t="s">
        <v>7</v>
      </c>
      <c r="G16" s="13">
        <v>-72.3465805053711</v>
      </c>
      <c r="H16" s="11">
        <f>-171.202499389648+360</f>
        <v>188.7975006</v>
      </c>
      <c r="I16" s="3">
        <f t="shared" si="2"/>
        <v>47.77637782</v>
      </c>
      <c r="K16" s="2" t="s">
        <v>7</v>
      </c>
      <c r="L16" s="13">
        <v>-74.6214370727539</v>
      </c>
      <c r="M16" s="11">
        <f>-173.831604003906+360</f>
        <v>186.168396</v>
      </c>
      <c r="N16" s="3">
        <f t="shared" si="3"/>
        <v>45.5133606</v>
      </c>
      <c r="O16" s="7">
        <v>-66.59121237860785</v>
      </c>
      <c r="P16" s="7">
        <v>141.36904907226565</v>
      </c>
    </row>
    <row r="17">
      <c r="A17" s="2" t="s">
        <v>31</v>
      </c>
      <c r="B17" s="13">
        <v>-75.8109664916992</v>
      </c>
      <c r="C17" s="13">
        <v>144.090560913086</v>
      </c>
      <c r="D17" s="3">
        <f t="shared" si="1"/>
        <v>9.613037637</v>
      </c>
      <c r="F17" s="2" t="s">
        <v>31</v>
      </c>
      <c r="G17" s="13">
        <v>-48.237606048584</v>
      </c>
      <c r="H17" s="13">
        <v>142.609527587891</v>
      </c>
      <c r="I17" s="3">
        <f t="shared" si="2"/>
        <v>18.39547913</v>
      </c>
      <c r="K17" s="2" t="s">
        <v>31</v>
      </c>
      <c r="L17" s="13">
        <v>-72.1701583862305</v>
      </c>
      <c r="M17" s="13">
        <v>141.242141723633</v>
      </c>
      <c r="N17" s="3">
        <f t="shared" si="3"/>
        <v>5.580389237</v>
      </c>
      <c r="O17" s="7">
        <v>-66.59121237860785</v>
      </c>
      <c r="P17" s="7">
        <v>141.36904907226565</v>
      </c>
    </row>
    <row r="18">
      <c r="A18" s="2" t="s">
        <v>21</v>
      </c>
      <c r="B18" s="13">
        <v>-52.7062759399414</v>
      </c>
      <c r="C18" s="13">
        <v>150.42854309082</v>
      </c>
      <c r="D18" s="3">
        <f t="shared" si="1"/>
        <v>16.57907994</v>
      </c>
      <c r="F18" s="2" t="s">
        <v>21</v>
      </c>
      <c r="G18" s="13">
        <v>-39.8074111938477</v>
      </c>
      <c r="H18" s="13">
        <v>127.215400695801</v>
      </c>
      <c r="I18" s="3">
        <f t="shared" si="2"/>
        <v>30.29352684</v>
      </c>
      <c r="K18" s="2" t="s">
        <v>21</v>
      </c>
      <c r="L18" s="13">
        <v>-48.082836151123</v>
      </c>
      <c r="M18" s="13">
        <v>138.993041992188</v>
      </c>
      <c r="N18" s="3">
        <f t="shared" si="3"/>
        <v>18.6602626</v>
      </c>
      <c r="O18" s="7">
        <v>-66.59121237860785</v>
      </c>
      <c r="P18" s="7">
        <v>141.36904907226565</v>
      </c>
    </row>
    <row r="19">
      <c r="A19" s="2" t="s">
        <v>7</v>
      </c>
      <c r="B19" s="13">
        <v>-64.3555755615234</v>
      </c>
      <c r="C19" s="13">
        <v>169.25016784668</v>
      </c>
      <c r="D19" s="3">
        <f t="shared" si="1"/>
        <v>27.970607</v>
      </c>
      <c r="F19" s="2" t="s">
        <v>7</v>
      </c>
      <c r="G19" s="13">
        <v>-50.0079765319824</v>
      </c>
      <c r="H19" s="13">
        <v>161.295989990234</v>
      </c>
      <c r="I19" s="3">
        <f t="shared" si="2"/>
        <v>25.92463472</v>
      </c>
      <c r="K19" s="2" t="s">
        <v>7</v>
      </c>
      <c r="L19" s="13">
        <v>-64.9548263549805</v>
      </c>
      <c r="M19" s="13">
        <v>167.537048339844</v>
      </c>
      <c r="N19" s="3">
        <f t="shared" si="3"/>
        <v>26.21911411</v>
      </c>
      <c r="O19" s="7">
        <v>-66.59121237860785</v>
      </c>
      <c r="P19" s="7">
        <v>141.36904907226565</v>
      </c>
    </row>
    <row r="20">
      <c r="A20" s="2" t="s">
        <v>12</v>
      </c>
      <c r="B20" s="13">
        <v>-70.2909240722656</v>
      </c>
      <c r="C20" s="13">
        <v>159.001754760742</v>
      </c>
      <c r="D20" s="3">
        <f t="shared" si="1"/>
        <v>18.01666386</v>
      </c>
      <c r="F20" s="2" t="s">
        <v>12</v>
      </c>
      <c r="G20" s="13">
        <v>-68.9382171630859</v>
      </c>
      <c r="H20" s="13">
        <v>148.129058837891</v>
      </c>
      <c r="I20" s="3">
        <f t="shared" si="2"/>
        <v>7.155848202</v>
      </c>
      <c r="K20" s="2" t="s">
        <v>12</v>
      </c>
      <c r="L20" s="13">
        <v>-61.3560752868652</v>
      </c>
      <c r="M20" s="13">
        <v>140.317993164063</v>
      </c>
      <c r="N20" s="3">
        <f t="shared" si="3"/>
        <v>5.33960475</v>
      </c>
      <c r="O20" s="7">
        <v>-66.59121237860785</v>
      </c>
      <c r="P20" s="7">
        <v>141.36904907226565</v>
      </c>
    </row>
    <row r="21">
      <c r="A21" s="2" t="s">
        <v>14</v>
      </c>
      <c r="B21" s="13">
        <v>-63.2509346008301</v>
      </c>
      <c r="C21" s="13">
        <v>139.206817626953</v>
      </c>
      <c r="D21" s="3">
        <f t="shared" si="1"/>
        <v>3.979032603</v>
      </c>
      <c r="F21" s="2" t="s">
        <v>14</v>
      </c>
      <c r="G21" s="13">
        <v>-65.4137649536133</v>
      </c>
      <c r="H21" s="13">
        <v>134.900756835938</v>
      </c>
      <c r="I21" s="3">
        <f t="shared" si="2"/>
        <v>6.574586443</v>
      </c>
      <c r="K21" s="2" t="s">
        <v>14</v>
      </c>
      <c r="L21" s="13">
        <v>-59.1636848449707</v>
      </c>
      <c r="M21" s="13">
        <v>145.049163818359</v>
      </c>
      <c r="N21" s="3">
        <f t="shared" si="3"/>
        <v>8.289234573</v>
      </c>
      <c r="O21" s="7">
        <v>-66.59121237860785</v>
      </c>
      <c r="P21" s="7">
        <v>141.36904907226565</v>
      </c>
    </row>
    <row r="22">
      <c r="A22" s="2" t="s">
        <v>7</v>
      </c>
      <c r="B22" s="13">
        <v>-50.661376953125</v>
      </c>
      <c r="C22" s="13">
        <v>153.318954467773</v>
      </c>
      <c r="D22" s="3">
        <f t="shared" si="1"/>
        <v>19.91381168</v>
      </c>
      <c r="F22" s="2" t="s">
        <v>7</v>
      </c>
      <c r="G22" s="13">
        <v>-63.6920127868652</v>
      </c>
      <c r="H22" s="13">
        <v>172.987274169922</v>
      </c>
      <c r="I22" s="3">
        <f t="shared" si="2"/>
        <v>31.75086639</v>
      </c>
      <c r="K22" s="2" t="s">
        <v>7</v>
      </c>
      <c r="L22" s="13">
        <v>-69.5917434692383</v>
      </c>
      <c r="M22" s="13">
        <v>166.071136474609</v>
      </c>
      <c r="N22" s="3">
        <f t="shared" si="3"/>
        <v>24.88365546</v>
      </c>
      <c r="O22" s="7">
        <v>-66.59121237860785</v>
      </c>
      <c r="P22" s="7">
        <v>141.36904907226565</v>
      </c>
    </row>
    <row r="23">
      <c r="A23" s="2" t="s">
        <v>8</v>
      </c>
      <c r="B23" s="13">
        <v>-50.0024108886719</v>
      </c>
      <c r="C23" s="13">
        <v>149.862716674805</v>
      </c>
      <c r="D23" s="3">
        <f t="shared" si="1"/>
        <v>18.636811</v>
      </c>
      <c r="F23" s="2" t="s">
        <v>8</v>
      </c>
      <c r="G23" s="13">
        <v>-84.2335586547852</v>
      </c>
      <c r="H23" s="13">
        <v>149.484573364258</v>
      </c>
      <c r="I23" s="3">
        <f t="shared" si="2"/>
        <v>19.41942627</v>
      </c>
      <c r="K23" s="2" t="s">
        <v>8</v>
      </c>
      <c r="L23" s="13">
        <v>-32.6800880432129</v>
      </c>
      <c r="M23" s="13">
        <v>140.248229980469</v>
      </c>
      <c r="N23" s="3">
        <f t="shared" si="3"/>
        <v>33.92964175</v>
      </c>
      <c r="O23" s="7">
        <v>-66.59121237860785</v>
      </c>
      <c r="P23" s="7">
        <v>141.36904907226565</v>
      </c>
    </row>
    <row r="24">
      <c r="A24" s="2" t="s">
        <v>8</v>
      </c>
      <c r="B24" s="13">
        <v>-31.858922958374</v>
      </c>
      <c r="C24" s="13">
        <v>124.228927612305</v>
      </c>
      <c r="D24" s="3">
        <f t="shared" si="1"/>
        <v>38.73132701</v>
      </c>
      <c r="F24" s="2" t="s">
        <v>8</v>
      </c>
      <c r="G24" s="13">
        <v>-38.8065147399902</v>
      </c>
      <c r="H24" s="13">
        <v>125.958976745605</v>
      </c>
      <c r="I24" s="3">
        <f t="shared" si="2"/>
        <v>31.77199635</v>
      </c>
      <c r="K24" s="2" t="s">
        <v>8</v>
      </c>
      <c r="L24" s="13">
        <v>-32.7845306396484</v>
      </c>
      <c r="M24" s="13">
        <v>122.138977050781</v>
      </c>
      <c r="N24" s="3">
        <f t="shared" si="3"/>
        <v>38.8932822</v>
      </c>
      <c r="O24" s="7">
        <v>-66.59121237860785</v>
      </c>
      <c r="P24" s="7">
        <v>141.36904907226565</v>
      </c>
    </row>
    <row r="25">
      <c r="A25" s="2" t="s">
        <v>7</v>
      </c>
      <c r="B25" s="13">
        <v>-45.4361534118652</v>
      </c>
      <c r="C25" s="13">
        <v>175.218734741211</v>
      </c>
      <c r="D25" s="3">
        <f t="shared" si="1"/>
        <v>39.91663488</v>
      </c>
      <c r="F25" s="2" t="s">
        <v>7</v>
      </c>
      <c r="G25" s="13">
        <v>-42.7592620849609</v>
      </c>
      <c r="H25" s="13">
        <v>156.836776733398</v>
      </c>
      <c r="I25" s="3">
        <f t="shared" si="2"/>
        <v>28.41148454</v>
      </c>
      <c r="K25" s="2" t="s">
        <v>7</v>
      </c>
      <c r="L25" s="13">
        <v>-57.7136688232422</v>
      </c>
      <c r="M25" s="13">
        <v>175.492416381836</v>
      </c>
      <c r="N25" s="3">
        <f t="shared" si="3"/>
        <v>35.25925377</v>
      </c>
      <c r="O25" s="7">
        <v>-66.59121237860785</v>
      </c>
      <c r="P25" s="7">
        <v>141.36904907226565</v>
      </c>
    </row>
    <row r="26">
      <c r="A26" s="2" t="s">
        <v>8</v>
      </c>
      <c r="B26" s="13">
        <v>-45.6331405639648</v>
      </c>
      <c r="C26" s="13">
        <v>145.562438964844</v>
      </c>
      <c r="D26" s="3">
        <f t="shared" si="1"/>
        <v>21.37347171</v>
      </c>
      <c r="F26" s="2" t="s">
        <v>8</v>
      </c>
      <c r="G26" s="13">
        <v>-69.9120178222656</v>
      </c>
      <c r="H26" s="13">
        <v>165.20556640625</v>
      </c>
      <c r="I26" s="3">
        <f t="shared" si="2"/>
        <v>24.06672615</v>
      </c>
      <c r="K26" s="2" t="s">
        <v>8</v>
      </c>
      <c r="L26" s="13">
        <v>-76.4434051513672</v>
      </c>
      <c r="M26" s="13">
        <v>153.38362121582</v>
      </c>
      <c r="N26" s="3">
        <f t="shared" si="3"/>
        <v>15.53755599</v>
      </c>
      <c r="O26" s="7">
        <v>-66.59121237860785</v>
      </c>
      <c r="P26" s="7">
        <v>141.36904907226565</v>
      </c>
    </row>
    <row r="27">
      <c r="A27" s="2" t="s">
        <v>8</v>
      </c>
      <c r="B27" s="13">
        <v>-47.111629486084</v>
      </c>
      <c r="C27" s="13">
        <v>135.59651184082</v>
      </c>
      <c r="D27" s="3">
        <f t="shared" si="1"/>
        <v>20.31689779</v>
      </c>
      <c r="F27" s="2" t="s">
        <v>8</v>
      </c>
      <c r="G27" s="13">
        <v>-41.1504821777344</v>
      </c>
      <c r="H27" s="13">
        <v>141.114379882813</v>
      </c>
      <c r="I27" s="3">
        <f t="shared" si="2"/>
        <v>25.44200483</v>
      </c>
      <c r="K27" s="2" t="s">
        <v>8</v>
      </c>
      <c r="L27" s="13">
        <v>-44.5329475402832</v>
      </c>
      <c r="M27" s="13">
        <v>131.180770874023</v>
      </c>
      <c r="N27" s="3">
        <f t="shared" si="3"/>
        <v>24.29749082</v>
      </c>
      <c r="O27" s="7">
        <v>-66.59121237860785</v>
      </c>
      <c r="P27" s="7">
        <v>141.36904907226565</v>
      </c>
    </row>
    <row r="28">
      <c r="A28" s="2" t="s">
        <v>7</v>
      </c>
      <c r="B28" s="13">
        <v>-64.0330429077148</v>
      </c>
      <c r="C28" s="11">
        <f>-178.346755981445+360</f>
        <v>181.653244</v>
      </c>
      <c r="D28" s="3">
        <f t="shared" si="1"/>
        <v>40.36533901</v>
      </c>
      <c r="F28" s="2" t="s">
        <v>7</v>
      </c>
      <c r="G28" s="13">
        <v>-59.2205467224121</v>
      </c>
      <c r="H28" s="13">
        <v>175.963745117188</v>
      </c>
      <c r="I28" s="3">
        <f t="shared" si="2"/>
        <v>35.37117056</v>
      </c>
      <c r="K28" s="2" t="s">
        <v>7</v>
      </c>
      <c r="L28" s="13">
        <v>-44.7183647155762</v>
      </c>
      <c r="M28" s="13">
        <v>150.830688476562</v>
      </c>
      <c r="N28" s="3">
        <f t="shared" si="3"/>
        <v>23.83157748</v>
      </c>
      <c r="O28" s="7">
        <v>-66.59121237860785</v>
      </c>
      <c r="P28" s="7">
        <v>141.36904907226565</v>
      </c>
    </row>
    <row r="29">
      <c r="A29" s="2" t="s">
        <v>8</v>
      </c>
      <c r="B29" s="13">
        <v>-56.9821624755859</v>
      </c>
      <c r="C29" s="13">
        <v>152.108871459961</v>
      </c>
      <c r="D29" s="3">
        <f t="shared" si="1"/>
        <v>14.41102442</v>
      </c>
      <c r="F29" s="2" t="s">
        <v>8</v>
      </c>
      <c r="G29" s="13">
        <v>-57.883243560791</v>
      </c>
      <c r="H29" s="13">
        <v>133.767547607422</v>
      </c>
      <c r="I29" s="3">
        <f t="shared" si="2"/>
        <v>11.55904604</v>
      </c>
      <c r="K29" s="2" t="s">
        <v>8</v>
      </c>
      <c r="L29" s="13">
        <v>-51.2210922241211</v>
      </c>
      <c r="M29" s="13">
        <v>157.466857910156</v>
      </c>
      <c r="N29" s="3">
        <f t="shared" si="3"/>
        <v>22.25713465</v>
      </c>
      <c r="O29" s="7">
        <v>-66.59121237860785</v>
      </c>
      <c r="P29" s="7">
        <v>141.36904907226565</v>
      </c>
    </row>
    <row r="30">
      <c r="A30" s="2" t="s">
        <v>19</v>
      </c>
      <c r="B30" s="13">
        <v>-66.360969543457</v>
      </c>
      <c r="C30" s="13">
        <v>0.0</v>
      </c>
      <c r="D30" s="3">
        <f t="shared" si="1"/>
        <v>141.3692366</v>
      </c>
      <c r="F30" s="2" t="s">
        <v>19</v>
      </c>
      <c r="G30" s="13">
        <v>-70.5618362426758</v>
      </c>
      <c r="H30" s="13">
        <v>0.0</v>
      </c>
      <c r="I30" s="3">
        <f t="shared" si="2"/>
        <v>141.4247994</v>
      </c>
      <c r="K30" s="2" t="s">
        <v>19</v>
      </c>
      <c r="L30" s="13">
        <v>-76.1543273925781</v>
      </c>
      <c r="M30" s="13">
        <v>0.0</v>
      </c>
      <c r="N30" s="3">
        <f t="shared" si="3"/>
        <v>141.6921353</v>
      </c>
      <c r="O30" s="7">
        <v>-66.59121237860785</v>
      </c>
      <c r="P30" s="7">
        <v>141.36904907226565</v>
      </c>
    </row>
    <row r="31">
      <c r="O31" s="7">
        <v>-66.59121237860785</v>
      </c>
      <c r="P31" s="7">
        <v>141.36904907226565</v>
      </c>
    </row>
    <row r="32">
      <c r="B32" s="1" t="s">
        <v>16</v>
      </c>
      <c r="F32" s="8" t="s">
        <v>17</v>
      </c>
      <c r="G32" s="8" t="s">
        <v>22</v>
      </c>
    </row>
    <row r="33">
      <c r="B33" s="2" t="s">
        <v>7</v>
      </c>
      <c r="C33" s="3">
        <f t="shared" ref="C33:C61" si="4">AVERAGE(D2,I2,N2)</f>
        <v>147.2078174</v>
      </c>
      <c r="F33" s="3">
        <f t="shared" ref="F33:F61" si="5">STDEV(D2,I2,N2)</f>
        <v>27.41465127</v>
      </c>
      <c r="G33" s="7">
        <f t="shared" ref="G33:G61" si="6">F33/SQRT(3)</f>
        <v>15.82785629</v>
      </c>
    </row>
    <row r="34">
      <c r="B34" s="2" t="s">
        <v>7</v>
      </c>
      <c r="C34" s="3">
        <f t="shared" si="4"/>
        <v>177.0386587</v>
      </c>
      <c r="F34" s="3">
        <f t="shared" si="5"/>
        <v>29.92669022</v>
      </c>
      <c r="G34" s="7">
        <f t="shared" si="6"/>
        <v>17.27818266</v>
      </c>
    </row>
    <row r="35">
      <c r="B35" s="2" t="s">
        <v>10</v>
      </c>
      <c r="C35" s="3">
        <f t="shared" si="4"/>
        <v>142.7353806</v>
      </c>
      <c r="F35" s="3">
        <f t="shared" si="5"/>
        <v>75.21431442</v>
      </c>
      <c r="G35" s="7">
        <f t="shared" si="6"/>
        <v>43.42500468</v>
      </c>
    </row>
    <row r="36">
      <c r="B36" s="2" t="s">
        <v>7</v>
      </c>
      <c r="C36" s="3">
        <f t="shared" si="4"/>
        <v>91.11580788</v>
      </c>
      <c r="F36" s="3">
        <f t="shared" si="5"/>
        <v>58.28600196</v>
      </c>
      <c r="G36" s="7">
        <f t="shared" si="6"/>
        <v>33.65143892</v>
      </c>
      <c r="K36" s="10">
        <v>-75.8109664916992</v>
      </c>
      <c r="L36" s="10">
        <v>144.090560913086</v>
      </c>
    </row>
    <row r="37">
      <c r="B37" s="2" t="s">
        <v>7</v>
      </c>
      <c r="C37" s="3">
        <f t="shared" si="4"/>
        <v>37.35146707</v>
      </c>
      <c r="F37" s="3">
        <f t="shared" si="5"/>
        <v>9.820142926</v>
      </c>
      <c r="G37" s="7">
        <f t="shared" si="6"/>
        <v>5.669662162</v>
      </c>
      <c r="K37" s="10">
        <v>-63.2509346008301</v>
      </c>
      <c r="L37" s="10">
        <v>139.206817626953</v>
      </c>
    </row>
    <row r="38">
      <c r="B38" s="2" t="s">
        <v>7</v>
      </c>
      <c r="C38" s="3">
        <f t="shared" si="4"/>
        <v>53.96158487</v>
      </c>
      <c r="F38" s="3">
        <f t="shared" si="5"/>
        <v>45.68054421</v>
      </c>
      <c r="G38" s="7">
        <f t="shared" si="6"/>
        <v>26.3736745</v>
      </c>
      <c r="K38" s="10">
        <v>-69.7632141113281</v>
      </c>
      <c r="L38" s="10">
        <v>145.257171630859</v>
      </c>
    </row>
    <row r="39">
      <c r="B39" s="2" t="s">
        <v>8</v>
      </c>
      <c r="C39" s="3">
        <f t="shared" si="4"/>
        <v>26.07427003</v>
      </c>
      <c r="F39" s="3">
        <f t="shared" si="5"/>
        <v>7.708472772</v>
      </c>
      <c r="G39" s="7">
        <f t="shared" si="6"/>
        <v>4.45048883</v>
      </c>
      <c r="K39" s="10">
        <v>-61.5484962463379</v>
      </c>
      <c r="L39" s="10">
        <v>146.752792358398</v>
      </c>
    </row>
    <row r="40">
      <c r="B40" s="2" t="s">
        <v>19</v>
      </c>
      <c r="C40" s="3">
        <f t="shared" si="4"/>
        <v>11.59741282</v>
      </c>
      <c r="F40" s="3">
        <f t="shared" si="5"/>
        <v>7.183917638</v>
      </c>
      <c r="G40" s="7">
        <f t="shared" si="6"/>
        <v>4.147636782</v>
      </c>
      <c r="K40" s="10">
        <v>-68.9382171630859</v>
      </c>
      <c r="L40" s="10">
        <v>148.129058837891</v>
      </c>
    </row>
    <row r="41">
      <c r="B41" s="2" t="s">
        <v>7</v>
      </c>
      <c r="C41" s="3">
        <f t="shared" si="4"/>
        <v>24.26172324</v>
      </c>
      <c r="F41" s="3">
        <f t="shared" si="5"/>
        <v>14.11206585</v>
      </c>
      <c r="G41" s="7">
        <f t="shared" si="6"/>
        <v>8.147605019</v>
      </c>
      <c r="K41" s="10">
        <v>-65.4137649536133</v>
      </c>
      <c r="L41" s="10">
        <v>134.900756835938</v>
      </c>
    </row>
    <row r="42">
      <c r="B42" s="2" t="s">
        <v>8</v>
      </c>
      <c r="C42" s="3">
        <f t="shared" si="4"/>
        <v>16.41348008</v>
      </c>
      <c r="F42" s="3">
        <f t="shared" si="5"/>
        <v>14.31849979</v>
      </c>
      <c r="G42" s="7">
        <f t="shared" si="6"/>
        <v>8.266789711</v>
      </c>
      <c r="K42" s="10">
        <v>-61.0690841674805</v>
      </c>
      <c r="L42" s="10">
        <v>132.42414855957</v>
      </c>
    </row>
    <row r="43">
      <c r="B43" s="2" t="s">
        <v>8</v>
      </c>
      <c r="C43" s="3">
        <f t="shared" si="4"/>
        <v>23.61666214</v>
      </c>
      <c r="F43" s="3">
        <f t="shared" si="5"/>
        <v>5.560636422</v>
      </c>
      <c r="G43" s="7">
        <f t="shared" si="6"/>
        <v>3.210434935</v>
      </c>
      <c r="K43" s="10">
        <v>-72.1701583862305</v>
      </c>
      <c r="L43" s="10">
        <v>141.242141723633</v>
      </c>
    </row>
    <row r="44">
      <c r="B44" s="2" t="s">
        <v>7</v>
      </c>
      <c r="C44" s="3">
        <f t="shared" si="4"/>
        <v>37.03339479</v>
      </c>
      <c r="F44" s="3">
        <f t="shared" si="5"/>
        <v>7.851224405</v>
      </c>
      <c r="G44" s="7">
        <f t="shared" si="6"/>
        <v>4.532906524</v>
      </c>
      <c r="K44" s="10">
        <v>-61.3560752868652</v>
      </c>
      <c r="L44" s="10">
        <v>140.317993164063</v>
      </c>
    </row>
    <row r="45">
      <c r="B45" s="2" t="s">
        <v>8</v>
      </c>
      <c r="C45" s="3">
        <f t="shared" si="4"/>
        <v>21.79105255</v>
      </c>
      <c r="F45" s="3">
        <f t="shared" si="5"/>
        <v>3.258483967</v>
      </c>
      <c r="G45" s="7">
        <f t="shared" si="6"/>
        <v>1.881286596</v>
      </c>
      <c r="J45" s="8" t="s">
        <v>23</v>
      </c>
      <c r="K45" s="9">
        <f t="shared" ref="K45:L45" si="7">AVERAGE(K36:K44)</f>
        <v>-66.59121238</v>
      </c>
      <c r="L45" s="9">
        <f t="shared" si="7"/>
        <v>141.3690491</v>
      </c>
    </row>
    <row r="46">
      <c r="B46" s="2" t="s">
        <v>8</v>
      </c>
      <c r="C46" s="3">
        <f t="shared" si="4"/>
        <v>21.5378491</v>
      </c>
      <c r="F46" s="3">
        <f t="shared" si="5"/>
        <v>10.2529168</v>
      </c>
      <c r="G46" s="7">
        <f t="shared" si="6"/>
        <v>5.919524276</v>
      </c>
      <c r="J46" s="8" t="s">
        <v>24</v>
      </c>
      <c r="K46" s="9">
        <f t="shared" ref="K46:L46" si="8">STDEV(K36:K44)</f>
        <v>5.333525046</v>
      </c>
      <c r="L46" s="9">
        <f t="shared" si="8"/>
        <v>5.301564227</v>
      </c>
    </row>
    <row r="47">
      <c r="B47" s="2" t="s">
        <v>7</v>
      </c>
      <c r="C47" s="3">
        <f t="shared" si="4"/>
        <v>42.85065922</v>
      </c>
      <c r="F47" s="3">
        <f t="shared" si="5"/>
        <v>6.668463103</v>
      </c>
      <c r="G47" s="7">
        <f t="shared" si="6"/>
        <v>3.850038968</v>
      </c>
    </row>
    <row r="48">
      <c r="B48" s="2" t="s">
        <v>31</v>
      </c>
      <c r="C48" s="3">
        <f t="shared" si="4"/>
        <v>11.196302</v>
      </c>
      <c r="F48" s="3">
        <f t="shared" si="5"/>
        <v>6.552608393</v>
      </c>
      <c r="G48" s="7">
        <f t="shared" si="6"/>
        <v>3.783150219</v>
      </c>
    </row>
    <row r="49">
      <c r="B49" s="2" t="s">
        <v>21</v>
      </c>
      <c r="C49" s="3">
        <f t="shared" si="4"/>
        <v>21.84428979</v>
      </c>
      <c r="F49" s="3">
        <f t="shared" si="5"/>
        <v>7.390875137</v>
      </c>
      <c r="G49" s="7">
        <f t="shared" si="6"/>
        <v>4.26712375</v>
      </c>
    </row>
    <row r="50">
      <c r="B50" s="2" t="s">
        <v>7</v>
      </c>
      <c r="C50" s="3">
        <f t="shared" si="4"/>
        <v>26.70478528</v>
      </c>
      <c r="F50" s="3">
        <f t="shared" si="5"/>
        <v>1.106077757</v>
      </c>
      <c r="G50" s="7">
        <f t="shared" si="6"/>
        <v>0.6385942906</v>
      </c>
    </row>
    <row r="51">
      <c r="B51" s="2" t="s">
        <v>12</v>
      </c>
      <c r="C51" s="3">
        <f t="shared" si="4"/>
        <v>10.1707056</v>
      </c>
      <c r="F51" s="3">
        <f t="shared" si="5"/>
        <v>6.855215588</v>
      </c>
      <c r="G51" s="7">
        <f t="shared" si="6"/>
        <v>3.957860565</v>
      </c>
    </row>
    <row r="52">
      <c r="B52" s="2" t="s">
        <v>14</v>
      </c>
      <c r="C52" s="3">
        <f t="shared" si="4"/>
        <v>6.280951206</v>
      </c>
      <c r="F52" s="3">
        <f t="shared" si="5"/>
        <v>2.170052187</v>
      </c>
      <c r="G52" s="7">
        <f t="shared" si="6"/>
        <v>1.252880214</v>
      </c>
    </row>
    <row r="53">
      <c r="B53" s="2" t="s">
        <v>7</v>
      </c>
      <c r="C53" s="3">
        <f t="shared" si="4"/>
        <v>25.51611118</v>
      </c>
      <c r="F53" s="3">
        <f t="shared" si="5"/>
        <v>5.94381748</v>
      </c>
      <c r="G53" s="7">
        <f t="shared" si="6"/>
        <v>3.431664622</v>
      </c>
    </row>
    <row r="54">
      <c r="B54" s="2" t="s">
        <v>8</v>
      </c>
      <c r="C54" s="3">
        <f t="shared" si="4"/>
        <v>23.99529301</v>
      </c>
      <c r="F54" s="3">
        <f t="shared" si="5"/>
        <v>8.612292689</v>
      </c>
      <c r="G54" s="7">
        <f t="shared" si="6"/>
        <v>4.972309502</v>
      </c>
    </row>
    <row r="55">
      <c r="B55" s="2" t="s">
        <v>8</v>
      </c>
      <c r="C55" s="3">
        <f t="shared" si="4"/>
        <v>36.46553519</v>
      </c>
      <c r="F55" s="3">
        <f t="shared" si="5"/>
        <v>4.065530406</v>
      </c>
      <c r="G55" s="7">
        <f t="shared" si="6"/>
        <v>2.347235074</v>
      </c>
    </row>
    <row r="56">
      <c r="B56" s="2" t="s">
        <v>7</v>
      </c>
      <c r="C56" s="3">
        <f t="shared" si="4"/>
        <v>34.52912439</v>
      </c>
      <c r="F56" s="3">
        <f t="shared" si="5"/>
        <v>5.787221936</v>
      </c>
      <c r="G56" s="7">
        <f t="shared" si="6"/>
        <v>3.341254142</v>
      </c>
    </row>
    <row r="57">
      <c r="B57" s="2" t="s">
        <v>8</v>
      </c>
      <c r="C57" s="3">
        <f t="shared" si="4"/>
        <v>20.32591795</v>
      </c>
      <c r="F57" s="3">
        <f t="shared" si="5"/>
        <v>4.360012906</v>
      </c>
      <c r="G57" s="7">
        <f t="shared" si="6"/>
        <v>2.517254625</v>
      </c>
    </row>
    <row r="58">
      <c r="B58" s="2" t="s">
        <v>8</v>
      </c>
      <c r="C58" s="3">
        <f t="shared" si="4"/>
        <v>23.35213115</v>
      </c>
      <c r="F58" s="3">
        <f t="shared" si="5"/>
        <v>2.690159703</v>
      </c>
      <c r="G58" s="7">
        <f t="shared" si="6"/>
        <v>1.553164428</v>
      </c>
    </row>
    <row r="59">
      <c r="B59" s="2" t="s">
        <v>7</v>
      </c>
      <c r="C59" s="3">
        <f t="shared" si="4"/>
        <v>33.18936235</v>
      </c>
      <c r="F59" s="3">
        <f t="shared" si="5"/>
        <v>8.480066798</v>
      </c>
      <c r="G59" s="7">
        <f t="shared" si="6"/>
        <v>4.895968849</v>
      </c>
    </row>
    <row r="60">
      <c r="B60" s="2" t="s">
        <v>8</v>
      </c>
      <c r="C60" s="3">
        <f t="shared" si="4"/>
        <v>16.07573504</v>
      </c>
      <c r="F60" s="3">
        <f t="shared" si="5"/>
        <v>5.539920671</v>
      </c>
      <c r="G60" s="7">
        <f t="shared" si="6"/>
        <v>3.198474691</v>
      </c>
    </row>
    <row r="61">
      <c r="B61" s="2" t="s">
        <v>19</v>
      </c>
      <c r="C61" s="3">
        <f t="shared" si="4"/>
        <v>141.4953904</v>
      </c>
      <c r="F61" s="3">
        <f t="shared" si="5"/>
        <v>0.1726360775</v>
      </c>
      <c r="G61" s="7">
        <f t="shared" si="6"/>
        <v>0.09967148584</v>
      </c>
    </row>
    <row r="62">
      <c r="F62" s="3"/>
      <c r="G62" s="7"/>
    </row>
    <row r="63">
      <c r="F63" s="3"/>
      <c r="G63" s="7"/>
    </row>
    <row r="64">
      <c r="C64" s="8" t="s">
        <v>25</v>
      </c>
      <c r="D64" s="8" t="s">
        <v>26</v>
      </c>
      <c r="E64" s="8" t="s">
        <v>32</v>
      </c>
      <c r="F64" s="3"/>
      <c r="G64" s="8" t="s">
        <v>28</v>
      </c>
      <c r="H64" s="8" t="s">
        <v>29</v>
      </c>
    </row>
    <row r="65">
      <c r="C65" s="8">
        <v>0.0</v>
      </c>
      <c r="D65" s="10">
        <v>0.0</v>
      </c>
      <c r="E65" s="7">
        <f>D65/D86</f>
        <v>0</v>
      </c>
      <c r="F65" s="3"/>
      <c r="G65" s="7">
        <f>SUMPRODUCT(C65:C85, E65:E85) / SUM(E65:E85)</f>
        <v>51.03448276</v>
      </c>
      <c r="H65" s="20">
        <f>SQRT(SUMPRODUCT(D65:D85, (C65:C85 - SUMPRODUCT(D65:D85, C65:C85) / SUM(D65:D85))^2) / (SUM(D65:D85) - 1))
</f>
        <v>46.47156024</v>
      </c>
    </row>
    <row r="66">
      <c r="C66" s="8">
        <v>10.0</v>
      </c>
      <c r="D66" s="10">
        <v>1.0</v>
      </c>
      <c r="E66" s="7">
        <f>D66/D86</f>
        <v>0.03448275862</v>
      </c>
      <c r="F66" s="3"/>
      <c r="G66" s="7"/>
    </row>
    <row r="67">
      <c r="C67" s="8">
        <v>20.0</v>
      </c>
      <c r="D67" s="10">
        <v>5.0</v>
      </c>
      <c r="E67" s="7">
        <f>D67/D86</f>
        <v>0.1724137931</v>
      </c>
      <c r="F67" s="3"/>
      <c r="G67" s="7"/>
    </row>
    <row r="68">
      <c r="C68" s="8">
        <v>30.0</v>
      </c>
      <c r="D68" s="10">
        <v>11.0</v>
      </c>
      <c r="E68" s="7">
        <f>D68/D86</f>
        <v>0.3793103448</v>
      </c>
      <c r="F68" s="3"/>
      <c r="G68" s="7"/>
    </row>
    <row r="69">
      <c r="C69" s="8">
        <v>40.0</v>
      </c>
      <c r="D69" s="10">
        <v>5.0</v>
      </c>
      <c r="E69" s="7">
        <f>D69/D86</f>
        <v>0.1724137931</v>
      </c>
      <c r="F69" s="3"/>
      <c r="G69" s="7"/>
    </row>
    <row r="70">
      <c r="C70" s="8">
        <v>50.0</v>
      </c>
      <c r="D70" s="10">
        <v>1.0</v>
      </c>
      <c r="E70" s="7">
        <f>D70/D86</f>
        <v>0.03448275862</v>
      </c>
      <c r="F70" s="3"/>
      <c r="G70" s="7"/>
    </row>
    <row r="71">
      <c r="C71" s="8">
        <v>60.0</v>
      </c>
      <c r="D71" s="10">
        <v>1.0</v>
      </c>
      <c r="E71" s="7">
        <f>D71/D86</f>
        <v>0.03448275862</v>
      </c>
    </row>
    <row r="72">
      <c r="C72" s="8">
        <v>70.0</v>
      </c>
      <c r="D72" s="10">
        <v>0.0</v>
      </c>
      <c r="E72" s="7">
        <f>D72/D86</f>
        <v>0</v>
      </c>
    </row>
    <row r="73">
      <c r="C73" s="8">
        <v>80.0</v>
      </c>
      <c r="D73" s="10">
        <v>0.0</v>
      </c>
      <c r="E73" s="7">
        <f>D73/D86</f>
        <v>0</v>
      </c>
    </row>
    <row r="74">
      <c r="C74" s="8">
        <v>90.0</v>
      </c>
      <c r="D74" s="10">
        <v>0.0</v>
      </c>
      <c r="E74" s="7">
        <f>D74/D86</f>
        <v>0</v>
      </c>
    </row>
    <row r="75">
      <c r="C75" s="8">
        <v>100.0</v>
      </c>
      <c r="D75" s="10">
        <v>1.0</v>
      </c>
      <c r="E75" s="7">
        <f>D75/D86</f>
        <v>0.03448275862</v>
      </c>
    </row>
    <row r="76">
      <c r="C76" s="8">
        <v>110.0</v>
      </c>
      <c r="D76" s="10">
        <v>0.0</v>
      </c>
      <c r="E76" s="7">
        <f>D76/D86</f>
        <v>0</v>
      </c>
    </row>
    <row r="77">
      <c r="C77" s="8">
        <v>120.0</v>
      </c>
      <c r="D77" s="10">
        <v>0.0</v>
      </c>
      <c r="E77" s="7">
        <f>D77/D86</f>
        <v>0</v>
      </c>
    </row>
    <row r="78">
      <c r="C78" s="8">
        <v>130.0</v>
      </c>
      <c r="D78" s="10">
        <v>0.0</v>
      </c>
      <c r="E78" s="7">
        <f>D78/D86</f>
        <v>0</v>
      </c>
    </row>
    <row r="79">
      <c r="C79" s="8">
        <v>140.0</v>
      </c>
      <c r="D79" s="10">
        <v>0.0</v>
      </c>
      <c r="E79" s="7">
        <f>D79/D86</f>
        <v>0</v>
      </c>
    </row>
    <row r="80">
      <c r="C80" s="8">
        <v>150.0</v>
      </c>
      <c r="D80" s="10">
        <v>3.0</v>
      </c>
      <c r="E80" s="7">
        <f>D80/D86</f>
        <v>0.1034482759</v>
      </c>
    </row>
    <row r="81">
      <c r="C81" s="8">
        <v>160.0</v>
      </c>
      <c r="D81" s="10">
        <v>0.0</v>
      </c>
      <c r="E81" s="7">
        <f>D81/D86</f>
        <v>0</v>
      </c>
    </row>
    <row r="82">
      <c r="C82" s="8">
        <v>170.0</v>
      </c>
      <c r="D82" s="10">
        <v>0.0</v>
      </c>
      <c r="E82" s="7">
        <f>D82/D86</f>
        <v>0</v>
      </c>
    </row>
    <row r="83">
      <c r="C83" s="8">
        <v>180.0</v>
      </c>
      <c r="D83" s="10">
        <v>1.0</v>
      </c>
      <c r="E83" s="7">
        <f>D83/D86</f>
        <v>0.03448275862</v>
      </c>
    </row>
    <row r="84">
      <c r="C84" s="8">
        <v>190.0</v>
      </c>
      <c r="D84" s="10">
        <v>0.0</v>
      </c>
      <c r="E84" s="7">
        <f>D84/D86</f>
        <v>0</v>
      </c>
    </row>
    <row r="85">
      <c r="C85" s="8">
        <v>200.0</v>
      </c>
      <c r="D85" s="10">
        <v>0.0</v>
      </c>
      <c r="E85" s="7">
        <f>D85/D86</f>
        <v>0</v>
      </c>
    </row>
    <row r="86">
      <c r="D86" s="8">
        <f t="shared" ref="D86:E86" si="9">SUM(D65:D85)</f>
        <v>29</v>
      </c>
      <c r="E86" s="9">
        <f t="shared" si="9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</v>
      </c>
      <c r="H1" s="1" t="s">
        <v>2</v>
      </c>
      <c r="I1" s="1" t="s">
        <v>3</v>
      </c>
      <c r="J1" s="1"/>
      <c r="K1" s="1" t="s">
        <v>5</v>
      </c>
      <c r="L1" s="1" t="s">
        <v>1</v>
      </c>
      <c r="M1" s="1" t="s">
        <v>2</v>
      </c>
      <c r="N1" s="1" t="s">
        <v>3</v>
      </c>
      <c r="O1" s="1" t="s">
        <v>6</v>
      </c>
      <c r="Q1" s="1"/>
      <c r="R1" s="1"/>
    </row>
    <row r="2">
      <c r="A2" s="2" t="s">
        <v>7</v>
      </c>
      <c r="B2" s="13">
        <v>0.0</v>
      </c>
      <c r="C2" s="13">
        <v>-1.96371078491211</v>
      </c>
      <c r="D2" s="3">
        <f t="shared" ref="D2:D30" si="1">SQRT((O3 - B2)^2 + (P3 - C2)^2)</f>
        <v>157.3032789</v>
      </c>
      <c r="F2" s="2" t="s">
        <v>7</v>
      </c>
      <c r="G2" s="13">
        <v>0.0</v>
      </c>
      <c r="H2" s="13">
        <v>135.266342163086</v>
      </c>
      <c r="I2" s="3">
        <f t="shared" ref="I2:I30" si="2">SQRT((O3 - G2)^2 + (P3 - H2)^2)</f>
        <v>66.30194397</v>
      </c>
      <c r="K2" s="2" t="s">
        <v>7</v>
      </c>
      <c r="L2" s="13">
        <v>0.0</v>
      </c>
      <c r="M2" s="13">
        <v>-2.25325298309326</v>
      </c>
      <c r="N2" s="3">
        <f t="shared" ref="N2:N30" si="3">SQRT((O3 - L2)^2 + (P3 - M2)^2)</f>
        <v>157.566089</v>
      </c>
      <c r="O2" s="1" t="s">
        <v>1</v>
      </c>
      <c r="P2" s="1" t="s">
        <v>2</v>
      </c>
      <c r="Q2" s="1"/>
      <c r="R2" s="1"/>
    </row>
    <row r="3">
      <c r="A3" s="2" t="s">
        <v>7</v>
      </c>
      <c r="B3" s="13">
        <v>58.4323692321777</v>
      </c>
      <c r="C3" s="13">
        <v>74.3609771728516</v>
      </c>
      <c r="D3" s="3">
        <f t="shared" si="1"/>
        <v>141.1174128</v>
      </c>
      <c r="F3" s="2" t="s">
        <v>7</v>
      </c>
      <c r="G3" s="13">
        <v>52.6607627868652</v>
      </c>
      <c r="H3" s="11">
        <f>-163.848388671875+360</f>
        <v>196.1516113</v>
      </c>
      <c r="I3" s="3">
        <f t="shared" si="2"/>
        <v>131.0042834</v>
      </c>
      <c r="K3" s="2" t="s">
        <v>7</v>
      </c>
      <c r="L3" s="13">
        <v>83.5777816772461</v>
      </c>
      <c r="M3" s="13">
        <v>171.157928466797</v>
      </c>
      <c r="N3" s="3">
        <f t="shared" si="3"/>
        <v>152.6991245</v>
      </c>
      <c r="O3" s="7">
        <v>-66.07137357271635</v>
      </c>
      <c r="P3" s="7">
        <v>140.79095693734976</v>
      </c>
    </row>
    <row r="4">
      <c r="A4" s="2" t="s">
        <v>10</v>
      </c>
      <c r="B4" s="13">
        <v>-94.9228057861328</v>
      </c>
      <c r="C4" s="13">
        <v>-2.79683542251587</v>
      </c>
      <c r="D4" s="3">
        <f t="shared" si="1"/>
        <v>146.4577047</v>
      </c>
      <c r="F4" s="2" t="s">
        <v>10</v>
      </c>
      <c r="G4" s="13">
        <v>-54.8658409118652</v>
      </c>
      <c r="H4" s="13">
        <v>155.582565307617</v>
      </c>
      <c r="I4" s="3">
        <f t="shared" si="2"/>
        <v>18.55682194</v>
      </c>
      <c r="K4" s="2" t="s">
        <v>10</v>
      </c>
      <c r="L4" s="13">
        <v>-60.6723709106445</v>
      </c>
      <c r="M4" s="13">
        <v>-51.5661315917969</v>
      </c>
      <c r="N4" s="3">
        <f t="shared" si="3"/>
        <v>192.4328421</v>
      </c>
      <c r="O4" s="7">
        <v>-66.07137357271635</v>
      </c>
      <c r="P4" s="7">
        <v>140.79095693734976</v>
      </c>
    </row>
    <row r="5">
      <c r="A5" s="2" t="s">
        <v>7</v>
      </c>
      <c r="B5" s="13">
        <v>-58.2952690124512</v>
      </c>
      <c r="C5" s="13">
        <v>159.689422607422</v>
      </c>
      <c r="D5" s="3">
        <f t="shared" si="1"/>
        <v>20.43574826</v>
      </c>
      <c r="F5" s="2" t="s">
        <v>7</v>
      </c>
      <c r="G5" s="13">
        <v>-83.777458190918</v>
      </c>
      <c r="H5" s="11">
        <f>-153.601013183594+360</f>
        <v>206.3989868</v>
      </c>
      <c r="I5" s="3">
        <f t="shared" si="2"/>
        <v>67.95527218</v>
      </c>
      <c r="K5" s="2" t="s">
        <v>7</v>
      </c>
      <c r="L5" s="13">
        <v>88.8997802734375</v>
      </c>
      <c r="M5" s="13">
        <v>101.064109802246</v>
      </c>
      <c r="N5" s="3">
        <f t="shared" si="3"/>
        <v>159.9821268</v>
      </c>
      <c r="O5" s="7">
        <v>-66.07137357271635</v>
      </c>
      <c r="P5" s="7">
        <v>140.79095693734976</v>
      </c>
    </row>
    <row r="6">
      <c r="A6" s="2" t="s">
        <v>7</v>
      </c>
      <c r="B6" s="13">
        <v>-64.6058959960938</v>
      </c>
      <c r="C6" s="13">
        <v>141.639007568359</v>
      </c>
      <c r="D6" s="3">
        <f t="shared" si="1"/>
        <v>1.693166974</v>
      </c>
      <c r="F6" s="2" t="s">
        <v>7</v>
      </c>
      <c r="G6" s="13">
        <v>-108.58177947998</v>
      </c>
      <c r="H6" s="13">
        <v>-9.82936573028564</v>
      </c>
      <c r="I6" s="3">
        <f t="shared" si="2"/>
        <v>156.5043648</v>
      </c>
      <c r="K6" s="2" t="s">
        <v>7</v>
      </c>
      <c r="L6" s="13">
        <v>82.651008605957</v>
      </c>
      <c r="M6" s="11">
        <f>-170.083221435547+360</f>
        <v>189.9167786</v>
      </c>
      <c r="N6" s="3">
        <f t="shared" si="3"/>
        <v>156.6259663</v>
      </c>
      <c r="O6" s="7">
        <v>-66.0713735727163</v>
      </c>
      <c r="P6" s="7">
        <v>140.79095693735</v>
      </c>
    </row>
    <row r="7">
      <c r="A7" s="2" t="s">
        <v>7</v>
      </c>
      <c r="B7" s="13">
        <v>-64.9641571044922</v>
      </c>
      <c r="C7" s="13">
        <v>170.254165649414</v>
      </c>
      <c r="D7" s="3">
        <f t="shared" si="1"/>
        <v>29.48400576</v>
      </c>
      <c r="F7" s="2" t="s">
        <v>7</v>
      </c>
      <c r="G7" s="13">
        <v>-63.3286018371582</v>
      </c>
      <c r="H7" s="13">
        <v>175.839859008789</v>
      </c>
      <c r="I7" s="3">
        <f t="shared" si="2"/>
        <v>35.15605685</v>
      </c>
      <c r="K7" s="2" t="s">
        <v>7</v>
      </c>
      <c r="L7" s="13">
        <v>-69.283561706543</v>
      </c>
      <c r="M7" s="11">
        <f>-168.195022583008+360</f>
        <v>191.8049774</v>
      </c>
      <c r="N7" s="3">
        <f t="shared" si="3"/>
        <v>51.11505099</v>
      </c>
      <c r="O7" s="7">
        <v>-66.0713735727163</v>
      </c>
      <c r="P7" s="7">
        <v>140.79095693735</v>
      </c>
    </row>
    <row r="8">
      <c r="A8" s="2" t="s">
        <v>8</v>
      </c>
      <c r="B8" s="13">
        <v>-70.0126724243164</v>
      </c>
      <c r="C8" s="13">
        <v>146.998626708984</v>
      </c>
      <c r="D8" s="3">
        <f t="shared" si="1"/>
        <v>7.353162628</v>
      </c>
      <c r="F8" s="2" t="s">
        <v>8</v>
      </c>
      <c r="G8" s="13">
        <v>-52.287483215332</v>
      </c>
      <c r="H8" s="13">
        <v>145.008224487305</v>
      </c>
      <c r="I8" s="3">
        <f t="shared" si="2"/>
        <v>14.41460991</v>
      </c>
      <c r="K8" s="2" t="s">
        <v>8</v>
      </c>
      <c r="L8" s="13">
        <v>-47.4301071166992</v>
      </c>
      <c r="M8" s="13">
        <v>141.455596923828</v>
      </c>
      <c r="N8" s="3">
        <f t="shared" si="3"/>
        <v>18.65311131</v>
      </c>
      <c r="O8" s="7">
        <v>-66.0713735727163</v>
      </c>
      <c r="P8" s="7">
        <v>140.79095693735</v>
      </c>
    </row>
    <row r="9">
      <c r="A9" s="2" t="s">
        <v>19</v>
      </c>
      <c r="B9" s="13">
        <v>-34.6883888244629</v>
      </c>
      <c r="C9" s="13">
        <v>138.333557128906</v>
      </c>
      <c r="D9" s="3">
        <f t="shared" si="1"/>
        <v>31.47904931</v>
      </c>
      <c r="F9" s="2" t="s">
        <v>19</v>
      </c>
      <c r="G9" s="13">
        <v>-64.4354476928711</v>
      </c>
      <c r="H9" s="13">
        <v>133.867935180664</v>
      </c>
      <c r="I9" s="3">
        <f t="shared" si="2"/>
        <v>7.113682853</v>
      </c>
      <c r="K9" s="2" t="s">
        <v>19</v>
      </c>
      <c r="L9" s="13">
        <v>-58.4459075927734</v>
      </c>
      <c r="M9" s="13">
        <v>127.213180541992</v>
      </c>
      <c r="N9" s="3">
        <f t="shared" si="3"/>
        <v>15.57253169</v>
      </c>
      <c r="O9" s="7">
        <v>-66.0713735727163</v>
      </c>
      <c r="P9" s="7">
        <v>140.79095693735</v>
      </c>
    </row>
    <row r="10">
      <c r="A10" s="2" t="s">
        <v>7</v>
      </c>
      <c r="B10" s="13">
        <v>-59.4042510986328</v>
      </c>
      <c r="C10" s="13">
        <v>166.949676513672</v>
      </c>
      <c r="D10" s="3">
        <f t="shared" si="1"/>
        <v>26.99498346</v>
      </c>
      <c r="F10" s="2" t="s">
        <v>7</v>
      </c>
      <c r="G10" s="13">
        <v>-69.2797012329102</v>
      </c>
      <c r="H10" s="13">
        <v>174.926788330078</v>
      </c>
      <c r="I10" s="3">
        <f t="shared" si="2"/>
        <v>34.28627059</v>
      </c>
      <c r="K10" s="2" t="s">
        <v>7</v>
      </c>
      <c r="L10" s="13">
        <v>-59.2402191162109</v>
      </c>
      <c r="M10" s="13">
        <v>178.864868164063</v>
      </c>
      <c r="N10" s="3">
        <f t="shared" si="3"/>
        <v>38.68187414</v>
      </c>
      <c r="O10" s="7">
        <v>-66.0713735727163</v>
      </c>
      <c r="P10" s="7">
        <v>140.79095693735</v>
      </c>
    </row>
    <row r="11">
      <c r="A11" s="2" t="s">
        <v>8</v>
      </c>
      <c r="B11" s="13">
        <v>-71.8135452270508</v>
      </c>
      <c r="C11" s="13">
        <v>155.649856567383</v>
      </c>
      <c r="D11" s="3">
        <f t="shared" si="1"/>
        <v>15.92982842</v>
      </c>
      <c r="F11" s="2" t="s">
        <v>8</v>
      </c>
      <c r="G11" s="13">
        <v>-60.9504852294922</v>
      </c>
      <c r="H11" s="13">
        <v>142.089508056641</v>
      </c>
      <c r="I11" s="3">
        <f t="shared" si="2"/>
        <v>5.282966253</v>
      </c>
      <c r="K11" s="2" t="s">
        <v>8</v>
      </c>
      <c r="L11" s="13">
        <v>-57.3015518188477</v>
      </c>
      <c r="M11" s="13">
        <v>155.031723022461</v>
      </c>
      <c r="N11" s="3">
        <f t="shared" si="3"/>
        <v>16.72450873</v>
      </c>
      <c r="O11" s="7">
        <v>-66.0713735727163</v>
      </c>
      <c r="P11" s="7">
        <v>140.79095693735</v>
      </c>
    </row>
    <row r="12">
      <c r="A12" s="2" t="s">
        <v>8</v>
      </c>
      <c r="B12" s="13">
        <v>-32.4076271057129</v>
      </c>
      <c r="C12" s="13">
        <v>130.044723510742</v>
      </c>
      <c r="D12" s="3">
        <f t="shared" si="1"/>
        <v>35.33736491</v>
      </c>
      <c r="F12" s="2" t="s">
        <v>8</v>
      </c>
      <c r="G12" s="13">
        <v>-50.9899444580078</v>
      </c>
      <c r="H12" s="13">
        <v>133.166275024414</v>
      </c>
      <c r="I12" s="3">
        <f t="shared" si="2"/>
        <v>16.89926858</v>
      </c>
      <c r="K12" s="2" t="s">
        <v>8</v>
      </c>
      <c r="L12" s="13">
        <v>-43.9563331604004</v>
      </c>
      <c r="M12" s="13">
        <v>146.88330078125</v>
      </c>
      <c r="N12" s="3">
        <f t="shared" si="3"/>
        <v>22.93886802</v>
      </c>
      <c r="O12" s="7">
        <v>-66.0713735727163</v>
      </c>
      <c r="P12" s="7">
        <v>140.79095693735</v>
      </c>
    </row>
    <row r="13">
      <c r="A13" s="2" t="s">
        <v>7</v>
      </c>
      <c r="B13" s="13">
        <v>-61.701301574707</v>
      </c>
      <c r="C13" s="13">
        <v>167.091201782227</v>
      </c>
      <c r="D13" s="3">
        <f t="shared" si="1"/>
        <v>26.66084035</v>
      </c>
      <c r="F13" s="2" t="s">
        <v>7</v>
      </c>
      <c r="G13" s="13">
        <v>-63.5961647033691</v>
      </c>
      <c r="H13" s="13">
        <v>176.854034423828</v>
      </c>
      <c r="I13" s="3">
        <f t="shared" si="2"/>
        <v>36.14792133</v>
      </c>
      <c r="K13" s="2" t="s">
        <v>7</v>
      </c>
      <c r="L13" s="13">
        <v>-64.9685440063477</v>
      </c>
      <c r="M13" s="13">
        <v>174.813919067383</v>
      </c>
      <c r="N13" s="3">
        <f t="shared" si="3"/>
        <v>34.04083115</v>
      </c>
      <c r="O13" s="7">
        <v>-66.0713735727163</v>
      </c>
      <c r="P13" s="7">
        <v>140.79095693735</v>
      </c>
    </row>
    <row r="14">
      <c r="A14" s="2" t="s">
        <v>8</v>
      </c>
      <c r="B14" s="13">
        <v>-33.668098449707</v>
      </c>
      <c r="C14" s="13">
        <v>121.511375427246</v>
      </c>
      <c r="D14" s="3">
        <f t="shared" si="1"/>
        <v>37.70509915</v>
      </c>
      <c r="F14" s="2" t="s">
        <v>8</v>
      </c>
      <c r="G14" s="13">
        <v>-51.2350921630859</v>
      </c>
      <c r="H14" s="13">
        <v>142.873306274414</v>
      </c>
      <c r="I14" s="3">
        <f t="shared" si="2"/>
        <v>14.981703</v>
      </c>
      <c r="K14" s="2" t="s">
        <v>8</v>
      </c>
      <c r="L14" s="13">
        <v>-53.1330032348633</v>
      </c>
      <c r="M14" s="13">
        <v>150.099411010742</v>
      </c>
      <c r="N14" s="3">
        <f t="shared" si="3"/>
        <v>15.93890662</v>
      </c>
      <c r="O14" s="7">
        <v>-66.0713735727163</v>
      </c>
      <c r="P14" s="7">
        <v>140.79095693735</v>
      </c>
    </row>
    <row r="15">
      <c r="A15" s="2" t="s">
        <v>8</v>
      </c>
      <c r="B15" s="13">
        <v>-47.2316665649414</v>
      </c>
      <c r="C15" s="13">
        <v>135.592071533203</v>
      </c>
      <c r="D15" s="3">
        <f t="shared" si="1"/>
        <v>19.54387294</v>
      </c>
      <c r="F15" s="2" t="s">
        <v>8</v>
      </c>
      <c r="G15" s="13">
        <v>-46.2841567993164</v>
      </c>
      <c r="H15" s="13">
        <v>140.016250610352</v>
      </c>
      <c r="I15" s="3">
        <f t="shared" si="2"/>
        <v>19.80237656</v>
      </c>
      <c r="K15" s="2" t="s">
        <v>8</v>
      </c>
      <c r="L15" s="13">
        <v>-47.2667999267578</v>
      </c>
      <c r="M15" s="13">
        <v>135.232559204102</v>
      </c>
      <c r="N15" s="3">
        <f t="shared" si="3"/>
        <v>19.60886981</v>
      </c>
      <c r="O15" s="7">
        <v>-66.0713735727163</v>
      </c>
      <c r="P15" s="7">
        <v>140.79095693735</v>
      </c>
    </row>
    <row r="16">
      <c r="A16" s="2" t="s">
        <v>7</v>
      </c>
      <c r="B16" s="13">
        <v>-52.4473419189453</v>
      </c>
      <c r="C16" s="13">
        <v>168.974670410156</v>
      </c>
      <c r="D16" s="3">
        <f t="shared" si="1"/>
        <v>31.30392857</v>
      </c>
      <c r="F16" s="2" t="s">
        <v>7</v>
      </c>
      <c r="G16" s="13">
        <v>-51.7397613525391</v>
      </c>
      <c r="H16" s="13">
        <v>168.009902954102</v>
      </c>
      <c r="I16" s="3">
        <f t="shared" si="2"/>
        <v>30.76143903</v>
      </c>
      <c r="K16" s="2" t="s">
        <v>7</v>
      </c>
      <c r="L16" s="13">
        <v>-74.2495803833008</v>
      </c>
      <c r="M16" s="13">
        <v>175.839782714844</v>
      </c>
      <c r="N16" s="3">
        <f t="shared" si="3"/>
        <v>35.99032169</v>
      </c>
      <c r="O16" s="7">
        <v>-66.0713735727163</v>
      </c>
      <c r="P16" s="7">
        <v>140.79095693735</v>
      </c>
    </row>
    <row r="17">
      <c r="A17" s="2" t="s">
        <v>31</v>
      </c>
      <c r="B17" s="13">
        <v>-61.9514694213867</v>
      </c>
      <c r="C17" s="13">
        <v>137.382629394531</v>
      </c>
      <c r="D17" s="3">
        <f t="shared" si="1"/>
        <v>5.346990448</v>
      </c>
      <c r="F17" s="2" t="s">
        <v>31</v>
      </c>
      <c r="G17" s="13">
        <v>-75.2129898071289</v>
      </c>
      <c r="H17" s="13">
        <v>146.197250366211</v>
      </c>
      <c r="I17" s="3">
        <f t="shared" si="2"/>
        <v>10.62060055</v>
      </c>
      <c r="K17" s="2" t="s">
        <v>31</v>
      </c>
      <c r="L17" s="13">
        <v>-70.5432052612305</v>
      </c>
      <c r="M17" s="13">
        <v>129.874038696289</v>
      </c>
      <c r="N17" s="3">
        <f t="shared" si="3"/>
        <v>11.79730404</v>
      </c>
      <c r="O17" s="7">
        <v>-66.0713735727163</v>
      </c>
      <c r="P17" s="7">
        <v>140.79095693735</v>
      </c>
    </row>
    <row r="18">
      <c r="A18" s="2" t="s">
        <v>21</v>
      </c>
      <c r="B18" s="13">
        <v>-51.8010749816895</v>
      </c>
      <c r="C18" s="13">
        <v>134.580535888672</v>
      </c>
      <c r="D18" s="3">
        <f t="shared" si="1"/>
        <v>15.56312152</v>
      </c>
      <c r="F18" s="2" t="s">
        <v>21</v>
      </c>
      <c r="G18" s="13">
        <v>-41.3812866210938</v>
      </c>
      <c r="H18" s="13">
        <v>135.91471862793</v>
      </c>
      <c r="I18" s="3">
        <f t="shared" si="2"/>
        <v>25.16700407</v>
      </c>
      <c r="K18" s="2" t="s">
        <v>21</v>
      </c>
      <c r="L18" s="13">
        <v>-32.8609619140625</v>
      </c>
      <c r="M18" s="13">
        <v>131.886795043945</v>
      </c>
      <c r="N18" s="3">
        <f t="shared" si="3"/>
        <v>34.38336141</v>
      </c>
      <c r="O18" s="7">
        <v>-66.0713735727163</v>
      </c>
      <c r="P18" s="7">
        <v>140.79095693735</v>
      </c>
    </row>
    <row r="19">
      <c r="A19" s="2" t="s">
        <v>7</v>
      </c>
      <c r="B19" s="13">
        <v>-61.2009353637695</v>
      </c>
      <c r="C19" s="13">
        <v>154.662002563477</v>
      </c>
      <c r="D19" s="3">
        <f t="shared" si="1"/>
        <v>14.701261</v>
      </c>
      <c r="F19" s="2" t="s">
        <v>7</v>
      </c>
      <c r="G19" s="13">
        <v>-68.7501373291016</v>
      </c>
      <c r="H19" s="13">
        <v>160.319259643555</v>
      </c>
      <c r="I19" s="3">
        <f t="shared" si="2"/>
        <v>19.71117404</v>
      </c>
      <c r="K19" s="2" t="s">
        <v>7</v>
      </c>
      <c r="L19" s="13">
        <v>-55.7702217102051</v>
      </c>
      <c r="M19" s="13">
        <v>147.270156860352</v>
      </c>
      <c r="N19" s="3">
        <f t="shared" si="3"/>
        <v>12.16937802</v>
      </c>
      <c r="O19" s="7">
        <v>-66.0713735727163</v>
      </c>
      <c r="P19" s="7">
        <v>140.79095693735</v>
      </c>
    </row>
    <row r="20">
      <c r="A20" s="2" t="s">
        <v>12</v>
      </c>
      <c r="B20" s="13">
        <v>-58.0283317565918</v>
      </c>
      <c r="C20" s="13">
        <v>148.812225341797</v>
      </c>
      <c r="D20" s="3">
        <f t="shared" si="1"/>
        <v>11.35919313</v>
      </c>
      <c r="F20" s="2" t="s">
        <v>12</v>
      </c>
      <c r="G20" s="13">
        <v>-71.2601776123047</v>
      </c>
      <c r="H20" s="13">
        <v>151.646911621094</v>
      </c>
      <c r="I20" s="3">
        <f t="shared" si="2"/>
        <v>12.0322666</v>
      </c>
      <c r="K20" s="2" t="s">
        <v>12</v>
      </c>
      <c r="L20" s="13">
        <v>-60.0978164672852</v>
      </c>
      <c r="M20" s="13">
        <v>144.477081298828</v>
      </c>
      <c r="N20" s="3">
        <f t="shared" si="3"/>
        <v>7.019323137</v>
      </c>
      <c r="O20" s="7">
        <v>-66.0713735727163</v>
      </c>
      <c r="P20" s="7">
        <v>140.79095693735</v>
      </c>
    </row>
    <row r="21">
      <c r="A21" s="2" t="s">
        <v>14</v>
      </c>
      <c r="B21" s="13">
        <v>-68.1761169433594</v>
      </c>
      <c r="C21" s="13">
        <v>138.525970458984</v>
      </c>
      <c r="D21" s="3">
        <f t="shared" si="1"/>
        <v>3.091942497</v>
      </c>
      <c r="F21" s="2" t="s">
        <v>14</v>
      </c>
      <c r="G21" s="13">
        <v>-60.4887771606445</v>
      </c>
      <c r="H21" s="13">
        <v>130.052658081055</v>
      </c>
      <c r="I21" s="3">
        <f t="shared" si="2"/>
        <v>12.10274535</v>
      </c>
      <c r="K21" s="2" t="s">
        <v>14</v>
      </c>
      <c r="L21" s="13">
        <v>-62.966682434082</v>
      </c>
      <c r="M21" s="13">
        <v>143.398574829102</v>
      </c>
      <c r="N21" s="3">
        <f t="shared" si="3"/>
        <v>4.054476308</v>
      </c>
      <c r="O21" s="7">
        <v>-66.0713735727163</v>
      </c>
      <c r="P21" s="7">
        <v>140.79095693735</v>
      </c>
    </row>
    <row r="22">
      <c r="A22" s="2" t="s">
        <v>7</v>
      </c>
      <c r="B22" s="13">
        <v>-46.062442779541</v>
      </c>
      <c r="C22" s="13">
        <v>145.843185424805</v>
      </c>
      <c r="D22" s="3">
        <f t="shared" si="1"/>
        <v>20.63691654</v>
      </c>
      <c r="F22" s="2" t="s">
        <v>7</v>
      </c>
      <c r="G22" s="13">
        <v>-67.2658843994141</v>
      </c>
      <c r="H22" s="13">
        <v>171.127044677734</v>
      </c>
      <c r="I22" s="3">
        <f t="shared" si="2"/>
        <v>30.3595961</v>
      </c>
      <c r="K22" s="2" t="s">
        <v>7</v>
      </c>
      <c r="L22" s="13">
        <v>-56.1776847839356</v>
      </c>
      <c r="M22" s="13">
        <v>165.446655273438</v>
      </c>
      <c r="N22" s="3">
        <f t="shared" si="3"/>
        <v>26.56668098</v>
      </c>
      <c r="O22" s="7">
        <v>-66.0713735727163</v>
      </c>
      <c r="P22" s="7">
        <v>140.79095693735</v>
      </c>
    </row>
    <row r="23">
      <c r="A23" s="2" t="s">
        <v>8</v>
      </c>
      <c r="B23" s="13">
        <v>-33.3539161682129</v>
      </c>
      <c r="C23" s="13">
        <v>147.223510742187</v>
      </c>
      <c r="D23" s="3">
        <f t="shared" si="1"/>
        <v>33.34381153</v>
      </c>
      <c r="F23" s="2" t="s">
        <v>8</v>
      </c>
      <c r="G23" s="13">
        <v>-72.0834426879883</v>
      </c>
      <c r="H23" s="13">
        <v>159.165679931641</v>
      </c>
      <c r="I23" s="3">
        <f t="shared" si="2"/>
        <v>19.33327236</v>
      </c>
      <c r="K23" s="2" t="s">
        <v>8</v>
      </c>
      <c r="L23" s="13">
        <v>-67.6668930053711</v>
      </c>
      <c r="M23" s="13">
        <v>139.895980834961</v>
      </c>
      <c r="N23" s="3">
        <f t="shared" si="3"/>
        <v>1.829389101</v>
      </c>
      <c r="O23" s="7">
        <v>-66.0713735727163</v>
      </c>
      <c r="P23" s="7">
        <v>140.79095693735</v>
      </c>
    </row>
    <row r="24">
      <c r="A24" s="2" t="s">
        <v>8</v>
      </c>
      <c r="B24" s="13">
        <v>-35.5347900390625</v>
      </c>
      <c r="C24" s="13">
        <v>135.451385498047</v>
      </c>
      <c r="D24" s="3">
        <f t="shared" si="1"/>
        <v>30.99990253</v>
      </c>
      <c r="F24" s="2" t="s">
        <v>8</v>
      </c>
      <c r="G24" s="13">
        <v>-36.6581535339355</v>
      </c>
      <c r="H24" s="13">
        <v>139.475509643555</v>
      </c>
      <c r="I24" s="3">
        <f t="shared" si="2"/>
        <v>29.44262072</v>
      </c>
      <c r="K24" s="2" t="s">
        <v>8</v>
      </c>
      <c r="L24" s="13">
        <v>-27.1212577819824</v>
      </c>
      <c r="M24" s="13">
        <v>130.930709838867</v>
      </c>
      <c r="N24" s="3">
        <f t="shared" si="3"/>
        <v>40.17880029</v>
      </c>
      <c r="O24" s="7">
        <v>-66.0713735727163</v>
      </c>
      <c r="P24" s="7">
        <v>140.79095693735</v>
      </c>
    </row>
    <row r="25">
      <c r="A25" s="2" t="s">
        <v>7</v>
      </c>
      <c r="B25" s="13">
        <v>-68.4715270996094</v>
      </c>
      <c r="C25" s="11">
        <f>-176.221298217773+360</f>
        <v>183.7787018</v>
      </c>
      <c r="D25" s="3">
        <f t="shared" si="1"/>
        <v>43.05469712</v>
      </c>
      <c r="F25" s="2" t="s">
        <v>7</v>
      </c>
      <c r="G25" s="13">
        <v>-73.0425796508789</v>
      </c>
      <c r="H25" s="13">
        <v>167.502304077148</v>
      </c>
      <c r="I25" s="3">
        <f t="shared" si="2"/>
        <v>27.60604608</v>
      </c>
      <c r="K25" s="2" t="s">
        <v>7</v>
      </c>
      <c r="L25" s="13">
        <v>-62.923023223877</v>
      </c>
      <c r="M25" s="13">
        <v>172.074645996094</v>
      </c>
      <c r="N25" s="3">
        <f t="shared" si="3"/>
        <v>31.44171292</v>
      </c>
      <c r="O25" s="7">
        <v>-66.0713735727163</v>
      </c>
      <c r="P25" s="7">
        <v>140.79095693735</v>
      </c>
    </row>
    <row r="26">
      <c r="A26" s="2" t="s">
        <v>8</v>
      </c>
      <c r="B26" s="13">
        <v>-81.2286834716797</v>
      </c>
      <c r="C26" s="13">
        <v>153.648025512695</v>
      </c>
      <c r="D26" s="3">
        <f t="shared" si="1"/>
        <v>19.87582088</v>
      </c>
      <c r="F26" s="2" t="s">
        <v>8</v>
      </c>
      <c r="G26" s="13">
        <v>-78.6212463378906</v>
      </c>
      <c r="H26" s="13">
        <v>125.853286743164</v>
      </c>
      <c r="I26" s="3">
        <f t="shared" si="2"/>
        <v>19.50982566</v>
      </c>
      <c r="K26" s="2" t="s">
        <v>8</v>
      </c>
      <c r="L26" s="13">
        <v>-40.0068855285645</v>
      </c>
      <c r="M26" s="13">
        <v>154.488861083984</v>
      </c>
      <c r="N26" s="3">
        <f t="shared" si="3"/>
        <v>29.44469587</v>
      </c>
      <c r="O26" s="7">
        <v>-66.0713735727163</v>
      </c>
      <c r="P26" s="7">
        <v>140.79095693735</v>
      </c>
    </row>
    <row r="27">
      <c r="A27" s="2" t="s">
        <v>8</v>
      </c>
      <c r="B27" s="13">
        <v>-83.0575180053711</v>
      </c>
      <c r="C27" s="13">
        <v>42.9715995788574</v>
      </c>
      <c r="D27" s="3">
        <f t="shared" si="1"/>
        <v>99.28320994</v>
      </c>
      <c r="F27" s="2" t="s">
        <v>8</v>
      </c>
      <c r="G27" s="13">
        <v>-38.1352653503418</v>
      </c>
      <c r="H27" s="13">
        <v>136.187606811523</v>
      </c>
      <c r="I27" s="3">
        <f t="shared" si="2"/>
        <v>28.31284117</v>
      </c>
      <c r="K27" s="2" t="s">
        <v>8</v>
      </c>
      <c r="L27" s="13">
        <v>-37.6742630004883</v>
      </c>
      <c r="M27" s="13">
        <v>155.274917602539</v>
      </c>
      <c r="N27" s="3">
        <f t="shared" si="3"/>
        <v>31.8775941</v>
      </c>
      <c r="O27" s="7">
        <v>-66.0713735727163</v>
      </c>
      <c r="P27" s="7">
        <v>140.79095693735</v>
      </c>
    </row>
    <row r="28">
      <c r="A28" s="2" t="s">
        <v>7</v>
      </c>
      <c r="B28" s="13">
        <v>-126.175086975098</v>
      </c>
      <c r="C28" s="13">
        <v>135.360168457031</v>
      </c>
      <c r="D28" s="3">
        <f t="shared" si="1"/>
        <v>60.3485694</v>
      </c>
      <c r="F28" s="2" t="s">
        <v>7</v>
      </c>
      <c r="G28" s="13">
        <v>-63.5311508178711</v>
      </c>
      <c r="H28" s="13">
        <v>135.761932373047</v>
      </c>
      <c r="I28" s="3">
        <f t="shared" si="2"/>
        <v>5.634165396</v>
      </c>
      <c r="K28" s="2" t="s">
        <v>7</v>
      </c>
      <c r="L28" s="13">
        <v>-56.7544174194336</v>
      </c>
      <c r="M28" s="13">
        <v>131.748886108398</v>
      </c>
      <c r="N28" s="3">
        <f t="shared" si="3"/>
        <v>12.98324755</v>
      </c>
      <c r="O28" s="7">
        <v>-66.0713735727163</v>
      </c>
      <c r="P28" s="7">
        <v>140.79095693735</v>
      </c>
    </row>
    <row r="29">
      <c r="A29" s="2" t="s">
        <v>8</v>
      </c>
      <c r="B29" s="13">
        <v>-78.8314590454102</v>
      </c>
      <c r="C29" s="13">
        <v>149.99528503418</v>
      </c>
      <c r="D29" s="3">
        <f t="shared" si="1"/>
        <v>15.73338606</v>
      </c>
      <c r="F29" s="2" t="s">
        <v>8</v>
      </c>
      <c r="G29" s="13">
        <v>-62.951416015625</v>
      </c>
      <c r="H29" s="13">
        <v>156.688171386719</v>
      </c>
      <c r="I29" s="3">
        <f t="shared" si="2"/>
        <v>16.20048031</v>
      </c>
      <c r="K29" s="2" t="s">
        <v>8</v>
      </c>
      <c r="L29" s="13">
        <v>-55.9216690063477</v>
      </c>
      <c r="M29" s="13">
        <v>139.438629150391</v>
      </c>
      <c r="N29" s="3">
        <f t="shared" si="3"/>
        <v>10.23939907</v>
      </c>
      <c r="O29" s="7">
        <v>-66.0713735727163</v>
      </c>
      <c r="P29" s="7">
        <v>140.79095693735</v>
      </c>
    </row>
    <row r="30">
      <c r="A30" s="2" t="s">
        <v>19</v>
      </c>
      <c r="B30" s="13">
        <v>-64.3892440795898</v>
      </c>
      <c r="C30" s="13">
        <v>0.0</v>
      </c>
      <c r="D30" s="3">
        <f t="shared" si="1"/>
        <v>140.8010054</v>
      </c>
      <c r="F30" s="2" t="s">
        <v>19</v>
      </c>
      <c r="G30" s="13">
        <v>-61.6475334167481</v>
      </c>
      <c r="H30" s="13">
        <v>0.0</v>
      </c>
      <c r="I30" s="3">
        <f t="shared" si="2"/>
        <v>140.8604413</v>
      </c>
      <c r="K30" s="2" t="s">
        <v>19</v>
      </c>
      <c r="L30" s="13">
        <v>-100.907859802246</v>
      </c>
      <c r="M30" s="13">
        <v>0.0</v>
      </c>
      <c r="N30" s="3">
        <f t="shared" si="3"/>
        <v>145.0368034</v>
      </c>
      <c r="O30" s="7">
        <v>-66.0713735727163</v>
      </c>
      <c r="P30" s="7">
        <v>140.79095693735</v>
      </c>
    </row>
    <row r="31">
      <c r="O31" s="7">
        <v>-66.0713735727163</v>
      </c>
      <c r="P31" s="7">
        <v>140.79095693735</v>
      </c>
    </row>
    <row r="32">
      <c r="B32" s="1" t="s">
        <v>16</v>
      </c>
      <c r="F32" s="8" t="s">
        <v>17</v>
      </c>
      <c r="G32" s="8" t="s">
        <v>22</v>
      </c>
      <c r="K32" s="10">
        <v>-64.6058959960938</v>
      </c>
      <c r="L32" s="10">
        <v>141.639007568359</v>
      </c>
    </row>
    <row r="33">
      <c r="B33" s="2" t="s">
        <v>7</v>
      </c>
      <c r="C33" s="3">
        <f t="shared" ref="C33:C61" si="4">AVERAGE(D2,I2,N2)</f>
        <v>127.057104</v>
      </c>
      <c r="F33" s="3">
        <f t="shared" ref="F33:F61" si="5">STDEV(D2,I2,N2)</f>
        <v>52.61567605</v>
      </c>
      <c r="G33" s="7">
        <f t="shared" ref="G33:G61" si="6">F33/SQRT(3)</f>
        <v>30.37767473</v>
      </c>
      <c r="K33" s="10">
        <v>-70.0126724243164</v>
      </c>
      <c r="L33" s="10">
        <v>146.998626708984</v>
      </c>
    </row>
    <row r="34">
      <c r="B34" s="2" t="s">
        <v>7</v>
      </c>
      <c r="C34" s="3">
        <f t="shared" si="4"/>
        <v>141.6069402</v>
      </c>
      <c r="F34" s="3">
        <f t="shared" si="5"/>
        <v>10.85570177</v>
      </c>
      <c r="G34" s="7">
        <f t="shared" si="6"/>
        <v>6.267542341</v>
      </c>
      <c r="K34" s="10">
        <v>-61.9514694213867</v>
      </c>
      <c r="L34" s="10">
        <v>137.382629394531</v>
      </c>
    </row>
    <row r="35">
      <c r="B35" s="2" t="s">
        <v>10</v>
      </c>
      <c r="C35" s="3">
        <f t="shared" si="4"/>
        <v>119.1491229</v>
      </c>
      <c r="F35" s="3">
        <f t="shared" si="5"/>
        <v>90.09737276</v>
      </c>
      <c r="G35" s="7">
        <f t="shared" si="6"/>
        <v>52.01774242</v>
      </c>
      <c r="K35" s="10">
        <v>-68.1761169433594</v>
      </c>
      <c r="L35" s="10">
        <v>138.525970458984</v>
      </c>
    </row>
    <row r="36">
      <c r="B36" s="2" t="s">
        <v>7</v>
      </c>
      <c r="C36" s="3">
        <f t="shared" si="4"/>
        <v>82.79104909</v>
      </c>
      <c r="F36" s="3">
        <f t="shared" si="5"/>
        <v>70.94626947</v>
      </c>
      <c r="G36" s="7">
        <f t="shared" si="6"/>
        <v>40.96084777</v>
      </c>
      <c r="K36" s="10">
        <v>-78.8314590454102</v>
      </c>
      <c r="L36" s="10">
        <v>149.99528503418</v>
      </c>
    </row>
    <row r="37">
      <c r="B37" s="2" t="s">
        <v>7</v>
      </c>
      <c r="C37" s="3">
        <f t="shared" si="4"/>
        <v>104.941166</v>
      </c>
      <c r="F37" s="3">
        <f t="shared" si="5"/>
        <v>89.41541074</v>
      </c>
      <c r="G37" s="7">
        <f t="shared" si="6"/>
        <v>51.62401146</v>
      </c>
      <c r="K37" s="10">
        <v>-64.4354476928711</v>
      </c>
      <c r="L37" s="10">
        <v>133.867935180664</v>
      </c>
    </row>
    <row r="38">
      <c r="B38" s="2" t="s">
        <v>7</v>
      </c>
      <c r="C38" s="3">
        <f t="shared" si="4"/>
        <v>38.58503787</v>
      </c>
      <c r="F38" s="3">
        <f t="shared" si="5"/>
        <v>11.21579077</v>
      </c>
      <c r="G38" s="7">
        <f t="shared" si="6"/>
        <v>6.475439819</v>
      </c>
      <c r="K38" s="10">
        <v>-60.9504852294922</v>
      </c>
      <c r="L38" s="10">
        <v>142.089508056641</v>
      </c>
    </row>
    <row r="39">
      <c r="B39" s="2" t="s">
        <v>8</v>
      </c>
      <c r="C39" s="3">
        <f t="shared" si="4"/>
        <v>13.47362795</v>
      </c>
      <c r="F39" s="3">
        <f t="shared" si="5"/>
        <v>5.708440709</v>
      </c>
      <c r="G39" s="7">
        <f t="shared" si="6"/>
        <v>3.29576978</v>
      </c>
      <c r="K39" s="10">
        <v>-75.2129898071289</v>
      </c>
      <c r="L39" s="10">
        <v>146.197250366211</v>
      </c>
    </row>
    <row r="40">
      <c r="B40" s="2" t="s">
        <v>19</v>
      </c>
      <c r="C40" s="3">
        <f t="shared" si="4"/>
        <v>18.05508795</v>
      </c>
      <c r="F40" s="3">
        <f t="shared" si="5"/>
        <v>12.3709371</v>
      </c>
      <c r="G40" s="7">
        <f t="shared" si="6"/>
        <v>7.142363868</v>
      </c>
      <c r="K40" s="10">
        <v>-60.4887771606445</v>
      </c>
      <c r="L40" s="10">
        <v>130.052658081055</v>
      </c>
    </row>
    <row r="41">
      <c r="B41" s="2" t="s">
        <v>7</v>
      </c>
      <c r="C41" s="3">
        <f t="shared" si="4"/>
        <v>33.32104273</v>
      </c>
      <c r="F41" s="3">
        <f t="shared" si="5"/>
        <v>5.902931652</v>
      </c>
      <c r="G41" s="7">
        <f t="shared" si="6"/>
        <v>3.408059178</v>
      </c>
      <c r="K41" s="10">
        <v>-63.5311508178711</v>
      </c>
      <c r="L41" s="10">
        <v>135.761932373047</v>
      </c>
    </row>
    <row r="42">
      <c r="B42" s="2" t="s">
        <v>8</v>
      </c>
      <c r="C42" s="3">
        <f t="shared" si="4"/>
        <v>12.6457678</v>
      </c>
      <c r="F42" s="3">
        <f t="shared" si="5"/>
        <v>6.388741205</v>
      </c>
      <c r="G42" s="7">
        <f t="shared" si="6"/>
        <v>3.688541454</v>
      </c>
      <c r="K42" s="10">
        <v>-60.0978164672852</v>
      </c>
      <c r="L42" s="10">
        <v>144.477081298828</v>
      </c>
    </row>
    <row r="43">
      <c r="B43" s="2" t="s">
        <v>8</v>
      </c>
      <c r="C43" s="3">
        <f t="shared" si="4"/>
        <v>25.0585005</v>
      </c>
      <c r="F43" s="3">
        <f t="shared" si="5"/>
        <v>9.400025561</v>
      </c>
      <c r="G43" s="7">
        <f t="shared" si="6"/>
        <v>5.427107288</v>
      </c>
      <c r="K43" s="10">
        <v>-62.966682434082</v>
      </c>
      <c r="L43" s="10">
        <v>143.398574829102</v>
      </c>
    </row>
    <row r="44">
      <c r="B44" s="2" t="s">
        <v>7</v>
      </c>
      <c r="C44" s="3">
        <f t="shared" si="4"/>
        <v>32.28319761</v>
      </c>
      <c r="F44" s="3">
        <f t="shared" si="5"/>
        <v>4.981780117</v>
      </c>
      <c r="G44" s="7">
        <f t="shared" si="6"/>
        <v>2.876232092</v>
      </c>
      <c r="K44" s="10">
        <v>-67.6668930053711</v>
      </c>
      <c r="L44" s="10">
        <v>139.895980834961</v>
      </c>
    </row>
    <row r="45">
      <c r="B45" s="2" t="s">
        <v>8</v>
      </c>
      <c r="C45" s="3">
        <f t="shared" si="4"/>
        <v>22.87523626</v>
      </c>
      <c r="F45" s="3">
        <f t="shared" si="5"/>
        <v>12.85195257</v>
      </c>
      <c r="G45" s="7">
        <f t="shared" si="6"/>
        <v>7.420078274</v>
      </c>
      <c r="J45" s="8" t="s">
        <v>23</v>
      </c>
      <c r="K45" s="9">
        <f t="shared" ref="K45:L45" si="7">AVERAGE(K32:K44)</f>
        <v>-66.07137357</v>
      </c>
      <c r="L45" s="9">
        <f t="shared" si="7"/>
        <v>140.7909569</v>
      </c>
    </row>
    <row r="46">
      <c r="B46" s="2" t="s">
        <v>8</v>
      </c>
      <c r="C46" s="3">
        <f t="shared" si="4"/>
        <v>19.65170644</v>
      </c>
      <c r="F46" s="3">
        <f t="shared" si="5"/>
        <v>0.1344703046</v>
      </c>
      <c r="G46" s="7">
        <f t="shared" si="6"/>
        <v>0.07763646658</v>
      </c>
      <c r="J46" s="8" t="s">
        <v>24</v>
      </c>
      <c r="K46" s="9">
        <f t="shared" ref="K46:L46" si="8">STDEV(K32:K44)</f>
        <v>5.772492123</v>
      </c>
      <c r="L46" s="9">
        <f t="shared" si="8"/>
        <v>5.637328418</v>
      </c>
    </row>
    <row r="47">
      <c r="B47" s="2" t="s">
        <v>7</v>
      </c>
      <c r="C47" s="3">
        <f t="shared" si="4"/>
        <v>32.68522976</v>
      </c>
      <c r="F47" s="3">
        <f t="shared" si="5"/>
        <v>2.875117076</v>
      </c>
      <c r="G47" s="7">
        <f t="shared" si="6"/>
        <v>1.659949618</v>
      </c>
    </row>
    <row r="48">
      <c r="B48" s="2" t="s">
        <v>31</v>
      </c>
      <c r="C48" s="3">
        <f t="shared" si="4"/>
        <v>9.254965011</v>
      </c>
      <c r="F48" s="3">
        <f t="shared" si="5"/>
        <v>3.435164721</v>
      </c>
      <c r="G48" s="7">
        <f t="shared" si="6"/>
        <v>1.983293277</v>
      </c>
    </row>
    <row r="49">
      <c r="B49" s="2" t="s">
        <v>21</v>
      </c>
      <c r="C49" s="3">
        <f t="shared" si="4"/>
        <v>25.037829</v>
      </c>
      <c r="F49" s="3">
        <f t="shared" si="5"/>
        <v>9.410784876</v>
      </c>
      <c r="G49" s="7">
        <f t="shared" si="6"/>
        <v>5.433319181</v>
      </c>
    </row>
    <row r="50">
      <c r="B50" s="2" t="s">
        <v>7</v>
      </c>
      <c r="C50" s="3">
        <f t="shared" si="4"/>
        <v>15.52727102</v>
      </c>
      <c r="F50" s="3">
        <f t="shared" si="5"/>
        <v>3.83814945</v>
      </c>
      <c r="G50" s="7">
        <f t="shared" si="6"/>
        <v>2.215956618</v>
      </c>
    </row>
    <row r="51">
      <c r="B51" s="2" t="s">
        <v>12</v>
      </c>
      <c r="C51" s="3">
        <f t="shared" si="4"/>
        <v>10.13692762</v>
      </c>
      <c r="F51" s="3">
        <f t="shared" si="5"/>
        <v>2.720817939</v>
      </c>
      <c r="G51" s="7">
        <f t="shared" si="6"/>
        <v>1.57086497</v>
      </c>
    </row>
    <row r="52">
      <c r="B52" s="2" t="s">
        <v>14</v>
      </c>
      <c r="C52" s="3">
        <f t="shared" si="4"/>
        <v>6.416388052</v>
      </c>
      <c r="F52" s="3">
        <f t="shared" si="5"/>
        <v>4.947990737</v>
      </c>
      <c r="G52" s="7">
        <f t="shared" si="6"/>
        <v>2.856723784</v>
      </c>
    </row>
    <row r="53">
      <c r="B53" s="2" t="s">
        <v>7</v>
      </c>
      <c r="C53" s="3">
        <f t="shared" si="4"/>
        <v>25.85439787</v>
      </c>
      <c r="F53" s="3">
        <f t="shared" si="5"/>
        <v>4.900319877</v>
      </c>
      <c r="G53" s="7">
        <f t="shared" si="6"/>
        <v>2.829201</v>
      </c>
    </row>
    <row r="54">
      <c r="B54" s="2" t="s">
        <v>8</v>
      </c>
      <c r="C54" s="3">
        <f t="shared" si="4"/>
        <v>18.16882433</v>
      </c>
      <c r="F54" s="3">
        <f t="shared" si="5"/>
        <v>15.78944773</v>
      </c>
      <c r="G54" s="7">
        <f t="shared" si="6"/>
        <v>9.116041899</v>
      </c>
    </row>
    <row r="55">
      <c r="B55" s="2" t="s">
        <v>8</v>
      </c>
      <c r="C55" s="3">
        <f t="shared" si="4"/>
        <v>33.54044118</v>
      </c>
      <c r="F55" s="3">
        <f t="shared" si="5"/>
        <v>5.801477436</v>
      </c>
      <c r="G55" s="7">
        <f t="shared" si="6"/>
        <v>3.349484559</v>
      </c>
    </row>
    <row r="56">
      <c r="B56" s="2" t="s">
        <v>7</v>
      </c>
      <c r="C56" s="3">
        <f t="shared" si="4"/>
        <v>34.03415204</v>
      </c>
      <c r="F56" s="3">
        <f t="shared" si="5"/>
        <v>8.04398907</v>
      </c>
      <c r="G56" s="7">
        <f t="shared" si="6"/>
        <v>4.644199255</v>
      </c>
    </row>
    <row r="57">
      <c r="B57" s="2" t="s">
        <v>8</v>
      </c>
      <c r="C57" s="3">
        <f t="shared" si="4"/>
        <v>22.94344747</v>
      </c>
      <c r="F57" s="3">
        <f t="shared" si="5"/>
        <v>5.633219435</v>
      </c>
      <c r="G57" s="7">
        <f t="shared" si="6"/>
        <v>3.252340757</v>
      </c>
    </row>
    <row r="58">
      <c r="B58" s="2" t="s">
        <v>8</v>
      </c>
      <c r="C58" s="3">
        <f t="shared" si="4"/>
        <v>53.15788174</v>
      </c>
      <c r="F58" s="3">
        <f t="shared" si="5"/>
        <v>39.98545101</v>
      </c>
      <c r="G58" s="7">
        <f t="shared" si="6"/>
        <v>23.0856109</v>
      </c>
    </row>
    <row r="59">
      <c r="B59" s="2" t="s">
        <v>7</v>
      </c>
      <c r="C59" s="3">
        <f t="shared" si="4"/>
        <v>26.32199411</v>
      </c>
      <c r="F59" s="3">
        <f t="shared" si="5"/>
        <v>29.69609606</v>
      </c>
      <c r="G59" s="7">
        <f t="shared" si="6"/>
        <v>17.14504905</v>
      </c>
    </row>
    <row r="60">
      <c r="B60" s="2" t="s">
        <v>8</v>
      </c>
      <c r="C60" s="3">
        <f t="shared" si="4"/>
        <v>14.05775515</v>
      </c>
      <c r="F60" s="3">
        <f t="shared" si="5"/>
        <v>3.315030412</v>
      </c>
      <c r="G60" s="7">
        <f t="shared" si="6"/>
        <v>1.913933701</v>
      </c>
    </row>
    <row r="61">
      <c r="B61" s="2" t="s">
        <v>19</v>
      </c>
      <c r="C61" s="3">
        <f t="shared" si="4"/>
        <v>142.23275</v>
      </c>
      <c r="F61" s="3">
        <f t="shared" si="5"/>
        <v>2.428563272</v>
      </c>
      <c r="G61" s="7">
        <f t="shared" si="6"/>
        <v>1.402131659</v>
      </c>
    </row>
    <row r="62">
      <c r="F62" s="3"/>
      <c r="G62" s="7"/>
    </row>
    <row r="63">
      <c r="F63" s="3"/>
      <c r="G63" s="7"/>
    </row>
    <row r="64">
      <c r="C64" s="8" t="s">
        <v>25</v>
      </c>
      <c r="D64" s="8" t="s">
        <v>26</v>
      </c>
      <c r="E64" s="8" t="s">
        <v>32</v>
      </c>
      <c r="F64" s="3"/>
      <c r="G64" s="8" t="s">
        <v>28</v>
      </c>
      <c r="H64" s="8" t="s">
        <v>29</v>
      </c>
    </row>
    <row r="65">
      <c r="C65" s="8">
        <v>0.0</v>
      </c>
      <c r="D65" s="10">
        <v>0.0</v>
      </c>
      <c r="E65" s="7">
        <f>D65/D86</f>
        <v>0</v>
      </c>
      <c r="F65" s="3"/>
      <c r="G65" s="7">
        <f>SUMPRODUCT(C65:C85, E65:E85) / SUM(E65:E85)</f>
        <v>48.62068966</v>
      </c>
      <c r="H65" s="20">
        <f>SQRT(SUMPRODUCT(D65:D85, (C65:C85 - SUMPRODUCT(D65:D85, C65:C85) / SUM(D65:D85))^2) / (SUM(D65:D85) - 1))
</f>
        <v>42.2343917</v>
      </c>
    </row>
    <row r="66">
      <c r="C66" s="8">
        <v>10.0</v>
      </c>
      <c r="D66" s="10">
        <v>2.0</v>
      </c>
      <c r="E66" s="7">
        <f>D66/D86</f>
        <v>0.06896551724</v>
      </c>
      <c r="F66" s="3"/>
      <c r="G66" s="7"/>
    </row>
    <row r="67">
      <c r="C67" s="8">
        <v>20.0</v>
      </c>
      <c r="D67" s="10">
        <v>8.0</v>
      </c>
      <c r="E67" s="7">
        <f>D67/D86</f>
        <v>0.275862069</v>
      </c>
      <c r="F67" s="3"/>
      <c r="G67" s="7"/>
    </row>
    <row r="68">
      <c r="C68" s="8">
        <v>30.0</v>
      </c>
      <c r="D68" s="10">
        <v>6.0</v>
      </c>
      <c r="E68" s="7">
        <f>D68/D86</f>
        <v>0.2068965517</v>
      </c>
      <c r="F68" s="3"/>
      <c r="G68" s="7"/>
    </row>
    <row r="69">
      <c r="C69" s="8">
        <v>40.0</v>
      </c>
      <c r="D69" s="10">
        <v>6.0</v>
      </c>
      <c r="E69" s="7">
        <f>D69/D86</f>
        <v>0.2068965517</v>
      </c>
      <c r="F69" s="3"/>
      <c r="G69" s="7"/>
    </row>
    <row r="70">
      <c r="C70" s="8">
        <v>50.0</v>
      </c>
      <c r="D70" s="10">
        <v>0.0</v>
      </c>
      <c r="E70" s="7">
        <f>D70/D86</f>
        <v>0</v>
      </c>
      <c r="F70" s="3"/>
      <c r="G70" s="7"/>
    </row>
    <row r="71">
      <c r="C71" s="8">
        <v>60.0</v>
      </c>
      <c r="D71" s="10">
        <v>1.0</v>
      </c>
      <c r="E71" s="7">
        <f>D71/D86</f>
        <v>0.03448275862</v>
      </c>
    </row>
    <row r="72">
      <c r="C72" s="8">
        <v>70.0</v>
      </c>
      <c r="D72" s="10">
        <v>0.0</v>
      </c>
      <c r="E72" s="7">
        <f>D72/D86</f>
        <v>0</v>
      </c>
    </row>
    <row r="73">
      <c r="C73" s="8">
        <v>80.0</v>
      </c>
      <c r="D73" s="10">
        <v>0.0</v>
      </c>
      <c r="E73" s="7">
        <f>D73/D86</f>
        <v>0</v>
      </c>
    </row>
    <row r="74">
      <c r="C74" s="8">
        <v>90.0</v>
      </c>
      <c r="D74" s="10">
        <v>1.0</v>
      </c>
      <c r="E74" s="7">
        <f>D74/D86</f>
        <v>0.03448275862</v>
      </c>
    </row>
    <row r="75">
      <c r="C75" s="8">
        <v>100.0</v>
      </c>
      <c r="D75" s="10">
        <v>0.0</v>
      </c>
      <c r="E75" s="7">
        <f>D75/D86</f>
        <v>0</v>
      </c>
    </row>
    <row r="76">
      <c r="C76" s="8">
        <v>110.0</v>
      </c>
      <c r="D76" s="10">
        <v>1.0</v>
      </c>
      <c r="E76" s="7">
        <f>D76/D86</f>
        <v>0.03448275862</v>
      </c>
    </row>
    <row r="77">
      <c r="C77" s="8">
        <v>120.0</v>
      </c>
      <c r="D77" s="10">
        <v>1.0</v>
      </c>
      <c r="E77" s="7">
        <f>D77/D86</f>
        <v>0.03448275862</v>
      </c>
    </row>
    <row r="78">
      <c r="C78" s="8">
        <v>130.0</v>
      </c>
      <c r="D78" s="10">
        <v>1.0</v>
      </c>
      <c r="E78" s="7">
        <f>D78/D86</f>
        <v>0.03448275862</v>
      </c>
    </row>
    <row r="79">
      <c r="C79" s="8">
        <v>140.0</v>
      </c>
      <c r="D79" s="10">
        <v>0.0</v>
      </c>
      <c r="E79" s="7">
        <f>D79/D86</f>
        <v>0</v>
      </c>
    </row>
    <row r="80">
      <c r="C80" s="8">
        <v>150.0</v>
      </c>
      <c r="D80" s="10">
        <v>2.0</v>
      </c>
      <c r="E80" s="7">
        <f>D80/D86</f>
        <v>0.06896551724</v>
      </c>
    </row>
    <row r="81">
      <c r="C81" s="8">
        <v>160.0</v>
      </c>
      <c r="D81" s="10">
        <v>0.0</v>
      </c>
      <c r="E81" s="7">
        <f>D81/D86</f>
        <v>0</v>
      </c>
    </row>
    <row r="82">
      <c r="C82" s="8">
        <v>170.0</v>
      </c>
      <c r="D82" s="10">
        <v>0.0</v>
      </c>
      <c r="E82" s="7">
        <f>D82/D86</f>
        <v>0</v>
      </c>
    </row>
    <row r="83">
      <c r="C83" s="8">
        <v>180.0</v>
      </c>
      <c r="D83" s="10">
        <v>0.0</v>
      </c>
      <c r="E83" s="7">
        <f>D83/D86</f>
        <v>0</v>
      </c>
    </row>
    <row r="84">
      <c r="C84" s="8">
        <v>190.0</v>
      </c>
      <c r="D84" s="10">
        <v>0.0</v>
      </c>
      <c r="E84" s="7">
        <f>D84/D86</f>
        <v>0</v>
      </c>
    </row>
    <row r="85">
      <c r="C85" s="8">
        <v>200.0</v>
      </c>
      <c r="D85" s="10">
        <v>0.0</v>
      </c>
      <c r="E85" s="7">
        <f>D85/D86</f>
        <v>0</v>
      </c>
    </row>
    <row r="86">
      <c r="D86" s="8">
        <f t="shared" ref="D86:E86" si="9">SUM(D65:D85)</f>
        <v>29</v>
      </c>
      <c r="E86" s="9">
        <f t="shared" si="9"/>
        <v>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2024-03-31T20:56:57Z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