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nHWY\NonHwyCSVs\"/>
    </mc:Choice>
  </mc:AlternateContent>
  <bookViews>
    <workbookView xWindow="0" yWindow="0" windowWidth="18285" windowHeight="10485"/>
  </bookViews>
  <sheets>
    <sheet name="off_highway_scrip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11" i="1" l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B11" i="1"/>
  <c r="I10" i="1"/>
  <c r="H10" i="1"/>
  <c r="G10" i="1"/>
  <c r="F10" i="1"/>
  <c r="E10" i="1"/>
  <c r="D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<sst xmlns="http://schemas.openxmlformats.org/spreadsheetml/2006/main" count="60" uniqueCount="60">
  <si>
    <t>State</t>
  </si>
  <si>
    <t>Agriculture</t>
  </si>
  <si>
    <t>Aviation</t>
  </si>
  <si>
    <t>Boating</t>
  </si>
  <si>
    <t>Industrial.Commercial</t>
  </si>
  <si>
    <t>Construction</t>
  </si>
  <si>
    <t>Federal.onhwy</t>
  </si>
  <si>
    <t>SCM.onhwy</t>
  </si>
  <si>
    <t>SCM.offhwy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</si>
  <si>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</si>
  <si>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</si>
  <si>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</si>
  <si>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</si>
  <si>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</si>
  <si>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</si>
  <si>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</si>
  <si>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</si>
  <si>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</si>
  <si>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NA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</si>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</sst>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nHWY/Nonhwy%20Model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Inputs for private sector"/>
      <sheetName val="Ind&amp;Com&amp;Con Estimates"/>
      <sheetName val="EPA_Results"/>
      <sheetName val="Inputs for public use"/>
      <sheetName val="Inputs for OFFROAD Recreational"/>
      <sheetName val="Aviation&amp;Boating"/>
      <sheetName val="USE THIS  Summary_combined"/>
      <sheetName val="Summary_NewModel"/>
    </sheetNames>
    <sheetDataSet>
      <sheetData sheetId="0"/>
      <sheetData sheetId="1">
        <row r="358">
          <cell r="A358" t="str">
            <v>Alabama</v>
          </cell>
          <cell r="B358" t="str">
            <v>NO</v>
          </cell>
          <cell r="C358" t="str">
            <v>South</v>
          </cell>
          <cell r="D358">
            <v>179640</v>
          </cell>
          <cell r="E358">
            <v>35928</v>
          </cell>
          <cell r="F358">
            <v>3.4790000000000001</v>
          </cell>
          <cell r="G358">
            <v>10327.105490083357</v>
          </cell>
          <cell r="H358">
            <v>1.083919400419521E-2</v>
          </cell>
          <cell r="I358">
            <v>122482.89224740588</v>
          </cell>
          <cell r="J358">
            <v>122583.28563188433</v>
          </cell>
          <cell r="K358">
            <v>22363.166973384301</v>
          </cell>
          <cell r="L358">
            <v>2.024</v>
          </cell>
          <cell r="M358">
            <v>11048.995540209635</v>
          </cell>
          <cell r="N358">
            <v>527.5862793</v>
          </cell>
          <cell r="O358">
            <v>10521.409260909635</v>
          </cell>
          <cell r="P358">
            <v>0.90345116513087453</v>
          </cell>
          <cell r="Q358">
            <v>9.6548834869125522E-2</v>
          </cell>
          <cell r="R358">
            <v>9505.5794555875837</v>
          </cell>
          <cell r="S358">
            <v>1015.8298053220524</v>
          </cell>
          <cell r="T358">
            <v>1543.4160846220511</v>
          </cell>
        </row>
        <row r="359">
          <cell r="A359" t="str">
            <v>Alaska</v>
          </cell>
          <cell r="B359" t="str">
            <v>NO</v>
          </cell>
          <cell r="D359">
            <v>5091</v>
          </cell>
          <cell r="E359">
            <v>1024.8116883116884</v>
          </cell>
          <cell r="F359">
            <v>3.8050000000000002</v>
          </cell>
          <cell r="G359">
            <v>269.33290100175776</v>
          </cell>
          <cell r="H359">
            <v>3.0718290289110338E-4</v>
          </cell>
          <cell r="I359">
            <v>3471.1668026694683</v>
          </cell>
          <cell r="J359">
            <v>3474.0119525268483</v>
          </cell>
          <cell r="K359">
            <v>645.61284073507807</v>
          </cell>
          <cell r="L359">
            <v>2.6459999999999999</v>
          </cell>
          <cell r="M359">
            <v>243.99578259073246</v>
          </cell>
          <cell r="N359">
            <v>8.4154056520000005</v>
          </cell>
          <cell r="O359">
            <v>235.58037693873246</v>
          </cell>
          <cell r="P359">
            <v>0.9181485852172715</v>
          </cell>
          <cell r="Q359">
            <v>8.1851414782728504E-2</v>
          </cell>
          <cell r="R359">
            <v>216.29778979124873</v>
          </cell>
          <cell r="S359">
            <v>19.282587147483721</v>
          </cell>
          <cell r="T359">
            <v>27.697992799483728</v>
          </cell>
        </row>
        <row r="360">
          <cell r="A360" t="str">
            <v>Arizona</v>
          </cell>
          <cell r="B360" t="str">
            <v>NO</v>
          </cell>
          <cell r="C360" t="str">
            <v>West</v>
          </cell>
          <cell r="D360">
            <v>189338</v>
          </cell>
          <cell r="E360">
            <v>47016.818791946309</v>
          </cell>
          <cell r="F360">
            <v>3.8050000000000002</v>
          </cell>
          <cell r="G360">
            <v>12356.588381589043</v>
          </cell>
          <cell r="H360">
            <v>1.1424356014063197E-2</v>
          </cell>
          <cell r="I360">
            <v>129095.22295891412</v>
          </cell>
          <cell r="J360">
            <v>129201.03615547603</v>
          </cell>
          <cell r="K360">
            <v>28593.671936047973</v>
          </cell>
          <cell r="L360">
            <v>2.6459999999999999</v>
          </cell>
          <cell r="M360">
            <v>10806.376393064238</v>
          </cell>
          <cell r="N360">
            <v>234.8100451</v>
          </cell>
          <cell r="O360">
            <v>10571.566347964239</v>
          </cell>
          <cell r="P360">
            <v>0.8940979202972672</v>
          </cell>
          <cell r="Q360">
            <v>0.10590207970273287</v>
          </cell>
          <cell r="R360">
            <v>9452.0154859994018</v>
          </cell>
          <cell r="S360">
            <v>1119.5508619648374</v>
          </cell>
          <cell r="T360">
            <v>1354.3609070648363</v>
          </cell>
        </row>
        <row r="361">
          <cell r="A361" t="str">
            <v>Arkansas</v>
          </cell>
          <cell r="B361" t="str">
            <v>Yes</v>
          </cell>
          <cell r="C361" t="str">
            <v>South</v>
          </cell>
          <cell r="D361">
            <v>510909</v>
          </cell>
          <cell r="E361">
            <v>102181.8</v>
          </cell>
          <cell r="F361">
            <v>3.4790000000000001</v>
          </cell>
          <cell r="G361">
            <v>29371.026156941651</v>
          </cell>
          <cell r="H361">
            <v>3.08274424932608E-2</v>
          </cell>
          <cell r="I361">
            <v>400000</v>
          </cell>
          <cell r="J361">
            <v>400000</v>
          </cell>
          <cell r="K361">
            <v>72972.972972972973</v>
          </cell>
          <cell r="L361">
            <v>2.024</v>
          </cell>
          <cell r="M361">
            <v>36053.840401666486</v>
          </cell>
          <cell r="N361">
            <v>1972.056147</v>
          </cell>
          <cell r="O361">
            <v>34081.784254666483</v>
          </cell>
          <cell r="P361">
            <v>0.91095987953481095</v>
          </cell>
          <cell r="Q361">
            <v>8.9040120465189054E-2</v>
          </cell>
          <cell r="R361">
            <v>31047.138078962395</v>
          </cell>
          <cell r="S361">
            <v>3034.646175704087</v>
          </cell>
          <cell r="T361">
            <v>5006.7023227040918</v>
          </cell>
        </row>
        <row r="362">
          <cell r="A362" t="str">
            <v>California</v>
          </cell>
          <cell r="B362" t="str">
            <v>Yes</v>
          </cell>
          <cell r="C362" t="str">
            <v>West</v>
          </cell>
          <cell r="D362">
            <v>1552328</v>
          </cell>
          <cell r="E362">
            <v>385477.42281879194</v>
          </cell>
          <cell r="F362">
            <v>4.0810000000000004</v>
          </cell>
          <cell r="G362">
            <v>94456.609365055599</v>
          </cell>
          <cell r="H362">
            <v>9.3665020875887003E-2</v>
          </cell>
          <cell r="I362">
            <v>1120000</v>
          </cell>
          <cell r="J362">
            <v>1120000</v>
          </cell>
          <cell r="K362">
            <v>247868.8524590164</v>
          </cell>
          <cell r="L362">
            <v>2.782</v>
          </cell>
          <cell r="M362">
            <v>89097.358899718325</v>
          </cell>
          <cell r="N362">
            <v>2238.7985560000002</v>
          </cell>
          <cell r="O362">
            <v>86858.560343718331</v>
          </cell>
          <cell r="P362">
            <v>0.94388411696675312</v>
          </cell>
          <cell r="Q362">
            <v>5.611588303324689E-2</v>
          </cell>
          <cell r="R362">
            <v>81984.415531034014</v>
          </cell>
          <cell r="S362">
            <v>4874.1448126843143</v>
          </cell>
          <cell r="T362">
            <v>7112.9433686843113</v>
          </cell>
        </row>
        <row r="363">
          <cell r="A363" t="str">
            <v>Colorado</v>
          </cell>
          <cell r="B363" t="str">
            <v>NO</v>
          </cell>
          <cell r="C363" t="str">
            <v>West</v>
          </cell>
          <cell r="D363">
            <v>288559</v>
          </cell>
          <cell r="E363">
            <v>71655.590604026846</v>
          </cell>
          <cell r="F363">
            <v>3.5310000000000001</v>
          </cell>
          <cell r="G363">
            <v>20293.285359395879</v>
          </cell>
          <cell r="H363">
            <v>1.7411194514899607E-2</v>
          </cell>
          <cell r="I363">
            <v>196746.49801836556</v>
          </cell>
          <cell r="J363">
            <v>196907.76173820367</v>
          </cell>
          <cell r="K363">
            <v>43577.947269930322</v>
          </cell>
          <cell r="L363">
            <v>2.14</v>
          </cell>
          <cell r="M363">
            <v>20363.526761649682</v>
          </cell>
          <cell r="N363">
            <v>1149.4907439999999</v>
          </cell>
          <cell r="O363">
            <v>19214.036017649683</v>
          </cell>
          <cell r="P363">
            <v>0.94580683555261691</v>
          </cell>
          <cell r="Q363">
            <v>5.4193164447383174E-2</v>
          </cell>
          <cell r="R363">
            <v>18172.766604047254</v>
          </cell>
          <cell r="S363">
            <v>1041.2694136024327</v>
          </cell>
          <cell r="T363">
            <v>2190.7601576024281</v>
          </cell>
        </row>
        <row r="364">
          <cell r="A364" t="str">
            <v>Connecticut</v>
          </cell>
          <cell r="B364" t="str">
            <v>NO</v>
          </cell>
          <cell r="C364" t="str">
            <v>Atlantic</v>
          </cell>
          <cell r="D364">
            <v>37338</v>
          </cell>
          <cell r="E364">
            <v>8419.3529411764703</v>
          </cell>
          <cell r="F364">
            <v>3.7850000000000001</v>
          </cell>
          <cell r="G364">
            <v>2224.399720257984</v>
          </cell>
          <cell r="H364">
            <v>2.2529159748866665E-3</v>
          </cell>
          <cell r="I364">
            <v>25457.950516219331</v>
          </cell>
          <cell r="J364">
            <v>25478.817183941756</v>
          </cell>
          <cell r="K364">
            <v>5315.7244484482799</v>
          </cell>
          <cell r="L364">
            <v>2.2549999999999999</v>
          </cell>
          <cell r="M364">
            <v>2357.3057421056674</v>
          </cell>
          <cell r="N364">
            <v>34.706660620000001</v>
          </cell>
          <cell r="O364">
            <v>2322.5990814856673</v>
          </cell>
          <cell r="P364">
            <v>0.99591816971763059</v>
          </cell>
          <cell r="Q364">
            <v>4.0818302823694584E-3</v>
          </cell>
          <cell r="R364">
            <v>2313.1186262210558</v>
          </cell>
          <cell r="S364">
            <v>9.4804552646116864</v>
          </cell>
          <cell r="T364">
            <v>44.187115884611558</v>
          </cell>
        </row>
        <row r="365">
          <cell r="A365" t="str">
            <v>Delaware</v>
          </cell>
          <cell r="B365" t="str">
            <v>NO</v>
          </cell>
          <cell r="C365" t="str">
            <v>Atlantic</v>
          </cell>
          <cell r="D365">
            <v>30861</v>
          </cell>
          <cell r="E365">
            <v>6958.8529411764703</v>
          </cell>
          <cell r="F365">
            <v>3.7629999999999999</v>
          </cell>
          <cell r="G365">
            <v>1849.2832689812572</v>
          </cell>
          <cell r="H365">
            <v>1.8621040200593876E-3</v>
          </cell>
          <cell r="I365">
            <v>21041.77542667108</v>
          </cell>
          <cell r="J365">
            <v>21059.022366319205</v>
          </cell>
          <cell r="K365">
            <v>4393.6089829011289</v>
          </cell>
          <cell r="L365">
            <v>2.3119999999999998</v>
          </cell>
          <cell r="M365">
            <v>1900.3499060991044</v>
          </cell>
          <cell r="N365">
            <v>114.52847490000001</v>
          </cell>
          <cell r="O365">
            <v>1785.8214311991044</v>
          </cell>
          <cell r="P365">
            <v>0.99147413808676177</v>
          </cell>
          <cell r="Q365">
            <v>8.5258619132382082E-3</v>
          </cell>
          <cell r="R365">
            <v>1770.5957642749993</v>
          </cell>
          <cell r="S365">
            <v>15.225666924104992</v>
          </cell>
          <cell r="T365">
            <v>129.75414182410509</v>
          </cell>
        </row>
        <row r="366">
          <cell r="A366" t="str">
            <v>Florida</v>
          </cell>
          <cell r="B366" t="str">
            <v>Yes</v>
          </cell>
          <cell r="C366" t="str">
            <v>South</v>
          </cell>
          <cell r="D366">
            <v>325053</v>
          </cell>
          <cell r="E366">
            <v>65010.600000000006</v>
          </cell>
          <cell r="F366">
            <v>3.629</v>
          </cell>
          <cell r="G366">
            <v>17914.191237255443</v>
          </cell>
          <cell r="H366">
            <v>1.961318486220032E-2</v>
          </cell>
          <cell r="I366">
            <v>230000</v>
          </cell>
          <cell r="J366">
            <v>230000</v>
          </cell>
          <cell r="K366">
            <v>41959.45945945946</v>
          </cell>
          <cell r="L366">
            <v>2.2160000000000002</v>
          </cell>
          <cell r="M366">
            <v>18934.774124304808</v>
          </cell>
          <cell r="N366">
            <v>611.78211180000005</v>
          </cell>
          <cell r="O366">
            <v>18322.992012504808</v>
          </cell>
          <cell r="P366">
            <v>0.99279507115546684</v>
          </cell>
          <cell r="Q366">
            <v>7.2049288445332335E-3</v>
          </cell>
          <cell r="R366">
            <v>18190.976158835761</v>
          </cell>
          <cell r="S366">
            <v>132.01585366904794</v>
          </cell>
          <cell r="T366">
            <v>743.79796546904618</v>
          </cell>
        </row>
        <row r="367">
          <cell r="A367" t="str">
            <v>Georgia</v>
          </cell>
          <cell r="B367" t="str">
            <v>Yes</v>
          </cell>
          <cell r="C367" t="str">
            <v>South</v>
          </cell>
          <cell r="D367">
            <v>346738</v>
          </cell>
          <cell r="E367">
            <v>69347.600000000006</v>
          </cell>
          <cell r="F367">
            <v>3.6179999999999999</v>
          </cell>
          <cell r="G367">
            <v>19167.385295743508</v>
          </cell>
          <cell r="H367">
            <v>2.0921623528315735E-2</v>
          </cell>
          <cell r="I367">
            <v>250000</v>
          </cell>
          <cell r="J367">
            <v>250000</v>
          </cell>
          <cell r="K367">
            <v>45608.108108108107</v>
          </cell>
          <cell r="L367">
            <v>2.206</v>
          </cell>
          <cell r="M367">
            <v>20674.573031780648</v>
          </cell>
          <cell r="N367">
            <v>858.30147490000002</v>
          </cell>
          <cell r="O367">
            <v>19816.271556880649</v>
          </cell>
          <cell r="P367">
            <v>0.99399552896116528</v>
          </cell>
          <cell r="Q367">
            <v>6.0044710388347062E-3</v>
          </cell>
          <cell r="R367">
            <v>19697.285328219674</v>
          </cell>
          <cell r="S367">
            <v>118.98622866097379</v>
          </cell>
          <cell r="T367">
            <v>977.28770356097448</v>
          </cell>
        </row>
        <row r="368">
          <cell r="A368" t="str">
            <v>Hawaii</v>
          </cell>
          <cell r="B368" t="str">
            <v>NO</v>
          </cell>
          <cell r="D368">
            <v>33157</v>
          </cell>
          <cell r="E368">
            <v>6674.4610389610398</v>
          </cell>
          <cell r="F368">
            <v>3.8050000000000002</v>
          </cell>
          <cell r="G368">
            <v>1754.129050975306</v>
          </cell>
          <cell r="H368">
            <v>2.0006410353880012E-3</v>
          </cell>
          <cell r="I368">
            <v>22607.243699884413</v>
          </cell>
          <cell r="J368">
            <v>22625.77377920501</v>
          </cell>
          <cell r="K368">
            <v>4204.7898173743824</v>
          </cell>
          <cell r="L368">
            <v>2.6459999999999999</v>
          </cell>
          <cell r="M368">
            <v>1589.111797949502</v>
          </cell>
          <cell r="N368">
            <v>28.945409040000001</v>
          </cell>
          <cell r="O368">
            <v>1560.1663889095021</v>
          </cell>
          <cell r="P368">
            <v>0.94454734525637463</v>
          </cell>
          <cell r="Q368">
            <v>5.5452654743625332E-2</v>
          </cell>
          <cell r="R368">
            <v>1473.6510208026948</v>
          </cell>
          <cell r="S368">
            <v>86.515368106807301</v>
          </cell>
          <cell r="T368">
            <v>115.46077714680723</v>
          </cell>
        </row>
        <row r="369">
          <cell r="A369" t="str">
            <v>Idaho</v>
          </cell>
          <cell r="B369" t="str">
            <v>NO</v>
          </cell>
          <cell r="C369" t="str">
            <v>West</v>
          </cell>
          <cell r="D369">
            <v>318433</v>
          </cell>
          <cell r="E369">
            <v>79073.966442953024</v>
          </cell>
          <cell r="F369">
            <v>3.552</v>
          </cell>
          <cell r="G369">
            <v>22261.814876957495</v>
          </cell>
          <cell r="H369">
            <v>1.9213744513125658E-2</v>
          </cell>
          <cell r="I369">
            <v>217115.31299831995</v>
          </cell>
          <cell r="J369">
            <v>217293.27206422747</v>
          </cell>
          <cell r="K369">
            <v>48089.494637165095</v>
          </cell>
          <cell r="L369">
            <v>2.2120000000000002</v>
          </cell>
          <cell r="M369">
            <v>21740.277864902844</v>
          </cell>
          <cell r="N369">
            <v>1140.5881489999999</v>
          </cell>
          <cell r="O369">
            <v>20599.689715902845</v>
          </cell>
          <cell r="P369">
            <v>0.93953930487951731</v>
          </cell>
          <cell r="Q369">
            <v>6.0460695120482723E-2</v>
          </cell>
          <cell r="R369">
            <v>19354.218156413099</v>
          </cell>
          <cell r="S369">
            <v>1245.4715594897452</v>
          </cell>
          <cell r="T369">
            <v>2386.0597084897454</v>
          </cell>
        </row>
        <row r="370">
          <cell r="A370" t="str">
            <v>Illinois</v>
          </cell>
          <cell r="B370" t="str">
            <v>Yes</v>
          </cell>
          <cell r="C370" t="str">
            <v>Midwest</v>
          </cell>
          <cell r="D370">
            <v>736736</v>
          </cell>
          <cell r="E370">
            <v>123861.72925764193</v>
          </cell>
          <cell r="F370">
            <v>3.605</v>
          </cell>
          <cell r="G370">
            <v>34358.316021537292</v>
          </cell>
          <cell r="H370">
            <v>4.4453487162518159E-2</v>
          </cell>
          <cell r="I370">
            <v>480000</v>
          </cell>
          <cell r="J370">
            <v>480000</v>
          </cell>
          <cell r="K370">
            <v>70062.111801242238</v>
          </cell>
          <cell r="L370">
            <v>2.1429999999999998</v>
          </cell>
          <cell r="M370">
            <v>32693.472609072443</v>
          </cell>
          <cell r="N370">
            <v>5966.4407300000003</v>
          </cell>
          <cell r="O370">
            <v>26727.031879072441</v>
          </cell>
          <cell r="P370">
            <v>0.97563917582366355</v>
          </cell>
          <cell r="Q370">
            <v>2.436082417633641E-2</v>
          </cell>
          <cell r="R370">
            <v>26075.939354711019</v>
          </cell>
          <cell r="S370">
            <v>651.09252436142185</v>
          </cell>
          <cell r="T370">
            <v>6617.533254361424</v>
          </cell>
        </row>
        <row r="371">
          <cell r="A371" t="str">
            <v>Indiana</v>
          </cell>
          <cell r="B371" t="str">
            <v>Yes</v>
          </cell>
          <cell r="C371" t="str">
            <v>Midwest</v>
          </cell>
          <cell r="D371">
            <v>457781</v>
          </cell>
          <cell r="E371">
            <v>76963.181222707426</v>
          </cell>
          <cell r="F371">
            <v>3.605</v>
          </cell>
          <cell r="G371">
            <v>21349.010047907748</v>
          </cell>
          <cell r="H371">
            <v>2.7621782845883364E-2</v>
          </cell>
          <cell r="I371">
            <v>300000</v>
          </cell>
          <cell r="J371">
            <v>300000</v>
          </cell>
          <cell r="K371">
            <v>43788.819875776397</v>
          </cell>
          <cell r="L371">
            <v>2.1429999999999998</v>
          </cell>
          <cell r="M371">
            <v>20433.420380670275</v>
          </cell>
          <cell r="N371">
            <v>3156.668842</v>
          </cell>
          <cell r="O371">
            <v>17276.751538670276</v>
          </cell>
          <cell r="P371">
            <v>0.91607762822186134</v>
          </cell>
          <cell r="Q371">
            <v>8.3922371778138605E-2</v>
          </cell>
          <cell r="R371">
            <v>15826.845572923459</v>
          </cell>
          <cell r="S371">
            <v>1449.9059657468151</v>
          </cell>
          <cell r="T371">
            <v>4606.5748077468161</v>
          </cell>
        </row>
        <row r="372">
          <cell r="A372" t="str">
            <v>Iowa</v>
          </cell>
          <cell r="B372" t="str">
            <v>Yes</v>
          </cell>
          <cell r="C372" t="str">
            <v>Midwest</v>
          </cell>
          <cell r="D372">
            <v>866990</v>
          </cell>
          <cell r="E372">
            <v>145760.32751091704</v>
          </cell>
          <cell r="F372">
            <v>3.605</v>
          </cell>
          <cell r="G372">
            <v>40432.823165302922</v>
          </cell>
          <cell r="H372">
            <v>5.2312807891879344E-2</v>
          </cell>
          <cell r="I372">
            <v>660000</v>
          </cell>
          <cell r="J372">
            <v>660000</v>
          </cell>
          <cell r="K372">
            <v>96335.403726708071</v>
          </cell>
          <cell r="L372">
            <v>2.1429999999999998</v>
          </cell>
          <cell r="M372">
            <v>44953.524837474608</v>
          </cell>
          <cell r="N372">
            <v>6344.9640289999998</v>
          </cell>
          <cell r="O372">
            <v>38608.560808474605</v>
          </cell>
          <cell r="P372">
            <v>0.94785002152308839</v>
          </cell>
          <cell r="Q372">
            <v>5.2149978476911572E-2</v>
          </cell>
          <cell r="R372">
            <v>36595.12519328812</v>
          </cell>
          <cell r="S372">
            <v>2013.4356151864824</v>
          </cell>
          <cell r="T372">
            <v>8358.3996441864874</v>
          </cell>
        </row>
        <row r="373">
          <cell r="A373" t="str">
            <v>Kansas</v>
          </cell>
          <cell r="B373" t="str">
            <v>Yes</v>
          </cell>
          <cell r="C373" t="str">
            <v>Plains</v>
          </cell>
          <cell r="D373">
            <v>710412</v>
          </cell>
          <cell r="E373">
            <v>142082.4</v>
          </cell>
          <cell r="F373">
            <v>3.605</v>
          </cell>
          <cell r="G373">
            <v>39412.593619972256</v>
          </cell>
          <cell r="H373">
            <v>4.2865138559943929E-2</v>
          </cell>
          <cell r="I373">
            <v>450000</v>
          </cell>
          <cell r="J373">
            <v>450000</v>
          </cell>
          <cell r="K373">
            <v>86101.083032490977</v>
          </cell>
          <cell r="L373">
            <v>2.1429999999999998</v>
          </cell>
          <cell r="M373">
            <v>40177.826893369565</v>
          </cell>
          <cell r="N373">
            <v>5018.1241099999997</v>
          </cell>
          <cell r="O373">
            <v>35159.702783369568</v>
          </cell>
          <cell r="P373">
            <v>0.89093166780130617</v>
          </cell>
          <cell r="Q373">
            <v>0.10906833219869387</v>
          </cell>
          <cell r="R373">
            <v>31324.892640185677</v>
          </cell>
          <cell r="S373">
            <v>3834.8101431838936</v>
          </cell>
          <cell r="T373">
            <v>8852.9342531838884</v>
          </cell>
        </row>
        <row r="374">
          <cell r="A374" t="str">
            <v>Kentucky</v>
          </cell>
          <cell r="B374" t="str">
            <v>NO</v>
          </cell>
          <cell r="C374" t="str">
            <v>Atlantic</v>
          </cell>
          <cell r="D374">
            <v>268528</v>
          </cell>
          <cell r="E374">
            <v>60550.431372549021</v>
          </cell>
          <cell r="F374">
            <v>3.605</v>
          </cell>
          <cell r="G374">
            <v>16796.23616436866</v>
          </cell>
          <cell r="H374">
            <v>1.6202555597631549E-2</v>
          </cell>
          <cell r="I374">
            <v>183088.8782532365</v>
          </cell>
          <cell r="J374">
            <v>183238.9474736063</v>
          </cell>
          <cell r="K374">
            <v>38229.708465716423</v>
          </cell>
          <cell r="L374">
            <v>2.1429999999999998</v>
          </cell>
          <cell r="M374">
            <v>17839.341327912472</v>
          </cell>
          <cell r="N374">
            <v>1316.624194</v>
          </cell>
          <cell r="O374">
            <v>16522.717133912472</v>
          </cell>
          <cell r="P374">
            <v>0.98333698400434111</v>
          </cell>
          <cell r="Q374">
            <v>1.6663015995658986E-2</v>
          </cell>
          <cell r="R374">
            <v>16247.398834018342</v>
          </cell>
          <cell r="S374">
            <v>275.31829989413234</v>
          </cell>
          <cell r="T374">
            <v>1591.9424938941302</v>
          </cell>
        </row>
        <row r="375">
          <cell r="A375" t="str">
            <v>Louisiana</v>
          </cell>
          <cell r="B375" t="str">
            <v>NO</v>
          </cell>
          <cell r="C375" t="str">
            <v>South</v>
          </cell>
          <cell r="D375">
            <v>235089</v>
          </cell>
          <cell r="E375">
            <v>47017.8</v>
          </cell>
          <cell r="F375">
            <v>3.4790000000000001</v>
          </cell>
          <cell r="G375">
            <v>13514.745616556482</v>
          </cell>
          <cell r="H375">
            <v>1.4184899127434022E-2</v>
          </cell>
          <cell r="I375">
            <v>160289.36014000446</v>
          </cell>
          <cell r="J375">
            <v>160420.7416828883</v>
          </cell>
          <cell r="K375">
            <v>29265.946117824216</v>
          </cell>
          <cell r="L375">
            <v>2.024</v>
          </cell>
          <cell r="M375">
            <v>14459.459544379553</v>
          </cell>
          <cell r="N375">
            <v>881.13878550000004</v>
          </cell>
          <cell r="O375">
            <v>13578.320758879554</v>
          </cell>
          <cell r="P375">
            <v>0.85597540128335348</v>
          </cell>
          <cell r="Q375">
            <v>0.14402459871664641</v>
          </cell>
          <cell r="R375">
            <v>11622.708560336016</v>
          </cell>
          <cell r="S375">
            <v>1955.6121985435375</v>
          </cell>
          <cell r="T375">
            <v>2836.7509840435378</v>
          </cell>
        </row>
        <row r="376">
          <cell r="A376" t="str">
            <v>Maine</v>
          </cell>
          <cell r="B376" t="str">
            <v>NO</v>
          </cell>
          <cell r="C376" t="str">
            <v>Atlantic</v>
          </cell>
          <cell r="D376">
            <v>40871</v>
          </cell>
          <cell r="E376">
            <v>9216.0098039215682</v>
          </cell>
          <cell r="F376">
            <v>3.7850000000000001</v>
          </cell>
          <cell r="G376">
            <v>2434.8770948273627</v>
          </cell>
          <cell r="H376">
            <v>2.4660916173762102E-3</v>
          </cell>
          <cell r="I376">
            <v>27866.835276351176</v>
          </cell>
          <cell r="J376">
            <v>27889.676392010377</v>
          </cell>
          <cell r="K376">
            <v>5818.7094630813017</v>
          </cell>
          <cell r="L376">
            <v>2.2549999999999999</v>
          </cell>
          <cell r="M376">
            <v>2580.3589636724178</v>
          </cell>
          <cell r="N376">
            <v>104.21971979999999</v>
          </cell>
          <cell r="O376">
            <v>2476.1392438724179</v>
          </cell>
          <cell r="P376">
            <v>0.99666195756394904</v>
          </cell>
          <cell r="Q376">
            <v>3.3380424360509504E-3</v>
          </cell>
          <cell r="R376">
            <v>2467.8737859988005</v>
          </cell>
          <cell r="S376">
            <v>8.2654578736172439</v>
          </cell>
          <cell r="T376">
            <v>112.48517767361727</v>
          </cell>
        </row>
        <row r="377">
          <cell r="A377" t="str">
            <v>Maryland</v>
          </cell>
          <cell r="B377" t="str">
            <v>NO</v>
          </cell>
          <cell r="C377" t="str">
            <v>Atlantic</v>
          </cell>
          <cell r="D377">
            <v>86919</v>
          </cell>
          <cell r="E377">
            <v>19599.382352941178</v>
          </cell>
          <cell r="F377">
            <v>3.7629999999999999</v>
          </cell>
          <cell r="G377">
            <v>5208.4460146003667</v>
          </cell>
          <cell r="H377">
            <v>5.2445552418762158E-3</v>
          </cell>
          <cell r="I377">
            <v>59263.474233201239</v>
          </cell>
          <cell r="J377">
            <v>59312.04967622886</v>
          </cell>
          <cell r="K377">
            <v>12374.456407270769</v>
          </cell>
          <cell r="L377">
            <v>2.3119999999999998</v>
          </cell>
          <cell r="M377">
            <v>5352.2735325565618</v>
          </cell>
          <cell r="N377">
            <v>339.0077594</v>
          </cell>
          <cell r="O377">
            <v>5013.2657731565614</v>
          </cell>
          <cell r="P377">
            <v>0.9351060889651992</v>
          </cell>
          <cell r="Q377">
            <v>6.4893911034800758E-2</v>
          </cell>
          <cell r="R377">
            <v>4687.9353500795278</v>
          </cell>
          <cell r="S377">
            <v>325.33042307703352</v>
          </cell>
          <cell r="T377">
            <v>664.33818247703402</v>
          </cell>
        </row>
        <row r="378">
          <cell r="A378" t="str">
            <v>Massachusetts</v>
          </cell>
          <cell r="B378" t="str">
            <v>NO</v>
          </cell>
          <cell r="C378" t="str">
            <v>Atlantic</v>
          </cell>
          <cell r="D378">
            <v>30619</v>
          </cell>
          <cell r="E378">
            <v>6904.2843137254904</v>
          </cell>
          <cell r="F378">
            <v>3.7170000000000001</v>
          </cell>
          <cell r="G378">
            <v>1857.4883814165969</v>
          </cell>
          <cell r="H378">
            <v>1.8475021221022775E-3</v>
          </cell>
          <cell r="I378">
            <v>20876.773979755737</v>
          </cell>
          <cell r="J378">
            <v>20893.885675588212</v>
          </cell>
          <cell r="K378">
            <v>4359.156004259411</v>
          </cell>
          <cell r="L378">
            <v>2.2210000000000001</v>
          </cell>
          <cell r="M378">
            <v>1962.6996867444443</v>
          </cell>
          <cell r="N378">
            <v>42.112198820000003</v>
          </cell>
          <cell r="O378">
            <v>1920.5874879244443</v>
          </cell>
          <cell r="P378">
            <v>0.99227439728632261</v>
          </cell>
          <cell r="Q378">
            <v>7.725602713677302E-3</v>
          </cell>
          <cell r="R378">
            <v>1905.7497920158803</v>
          </cell>
          <cell r="S378">
            <v>14.837695908563759</v>
          </cell>
          <cell r="T378">
            <v>56.949894728564004</v>
          </cell>
        </row>
        <row r="379">
          <cell r="A379" t="str">
            <v>Michigan</v>
          </cell>
          <cell r="B379" t="str">
            <v>NO</v>
          </cell>
          <cell r="C379" t="str">
            <v>Midwest</v>
          </cell>
          <cell r="D379">
            <v>397260</v>
          </cell>
          <cell r="E379">
            <v>66788.253275109179</v>
          </cell>
          <cell r="F379">
            <v>3.605</v>
          </cell>
          <cell r="G379">
            <v>18526.561241361771</v>
          </cell>
          <cell r="H379">
            <v>2.3970041249758343E-2</v>
          </cell>
          <cell r="I379">
            <v>270861.46612226928</v>
          </cell>
          <cell r="J379">
            <v>271083.4783462612</v>
          </cell>
          <cell r="K379">
            <v>39568.085348677872</v>
          </cell>
          <cell r="L379">
            <v>2.1429999999999998</v>
          </cell>
          <cell r="M379">
            <v>18463.875571011609</v>
          </cell>
          <cell r="N379">
            <v>1805.5419159999999</v>
          </cell>
          <cell r="O379">
            <v>16658.333655011611</v>
          </cell>
          <cell r="P379">
            <v>0.98820002263916906</v>
          </cell>
          <cell r="Q379">
            <v>1.1799977360830846E-2</v>
          </cell>
          <cell r="R379">
            <v>16461.765695013306</v>
          </cell>
          <cell r="S379">
            <v>196.56795999830356</v>
          </cell>
          <cell r="T379">
            <v>2002.1098759983033</v>
          </cell>
        </row>
        <row r="380">
          <cell r="A380" t="str">
            <v>Minnesota</v>
          </cell>
          <cell r="B380" t="str">
            <v>Yes</v>
          </cell>
          <cell r="C380" t="str">
            <v>Midwest</v>
          </cell>
          <cell r="D380">
            <v>798828</v>
          </cell>
          <cell r="E380">
            <v>134300.77729257641</v>
          </cell>
          <cell r="F380">
            <v>3.5619999999999998</v>
          </cell>
          <cell r="G380">
            <v>37703.755556590797</v>
          </cell>
          <cell r="H380">
            <v>4.8200020418521769E-2</v>
          </cell>
          <cell r="I380">
            <v>530000</v>
          </cell>
          <cell r="J380">
            <v>530000</v>
          </cell>
          <cell r="K380">
            <v>77360.248447204969</v>
          </cell>
          <cell r="L380">
            <v>2.09</v>
          </cell>
          <cell r="M380">
            <v>37014.4729412464</v>
          </cell>
          <cell r="N380">
            <v>5129.6084209999999</v>
          </cell>
          <cell r="O380">
            <v>31884.864520246399</v>
          </cell>
          <cell r="P380">
            <v>0.98381950403508467</v>
          </cell>
          <cell r="Q380">
            <v>1.6180495964915366E-2</v>
          </cell>
          <cell r="R380">
            <v>31368.951598534681</v>
          </cell>
          <cell r="S380">
            <v>515.91292171171995</v>
          </cell>
          <cell r="T380">
            <v>5645.5213427117196</v>
          </cell>
        </row>
        <row r="381">
          <cell r="A381" t="str">
            <v>Mississippi</v>
          </cell>
          <cell r="B381" t="str">
            <v>NO</v>
          </cell>
          <cell r="C381" t="str">
            <v>South</v>
          </cell>
          <cell r="D381">
            <v>288348</v>
          </cell>
          <cell r="E381">
            <v>57669.600000000006</v>
          </cell>
          <cell r="F381">
            <v>3.4790000000000001</v>
          </cell>
          <cell r="G381">
            <v>16576.487496407015</v>
          </cell>
          <cell r="H381">
            <v>1.739846310800312E-2</v>
          </cell>
          <cell r="I381">
            <v>196602.63312043526</v>
          </cell>
          <cell r="J381">
            <v>196763.77892107872</v>
          </cell>
          <cell r="K381">
            <v>35896.094803169763</v>
          </cell>
          <cell r="L381">
            <v>2.024</v>
          </cell>
          <cell r="M381">
            <v>17735.224705123401</v>
          </cell>
          <cell r="N381">
            <v>1094.5901060000001</v>
          </cell>
          <cell r="O381">
            <v>16640.634599123401</v>
          </cell>
          <cell r="P381">
            <v>0.7400653847644747</v>
          </cell>
          <cell r="Q381">
            <v>0.25993461523552525</v>
          </cell>
          <cell r="R381">
            <v>12315.15764732529</v>
          </cell>
          <cell r="S381">
            <v>4325.4769517981103</v>
          </cell>
          <cell r="T381">
            <v>5420.0670577981109</v>
          </cell>
        </row>
        <row r="382">
          <cell r="A382" t="str">
            <v>Missouri</v>
          </cell>
          <cell r="B382" t="str">
            <v>Yes</v>
          </cell>
          <cell r="C382" t="str">
            <v>Midwest</v>
          </cell>
          <cell r="D382">
            <v>507282</v>
          </cell>
          <cell r="E382">
            <v>85285.401746724892</v>
          </cell>
          <cell r="F382">
            <v>3.605</v>
          </cell>
          <cell r="G382">
            <v>23657.531691185824</v>
          </cell>
          <cell r="H382">
            <v>3.0608595039168084E-2</v>
          </cell>
          <cell r="I382">
            <v>340000</v>
          </cell>
          <cell r="J382">
            <v>340000</v>
          </cell>
          <cell r="K382">
            <v>49627.329192546582</v>
          </cell>
          <cell r="L382">
            <v>2.1429999999999998</v>
          </cell>
          <cell r="M382">
            <v>23157.876431426314</v>
          </cell>
          <cell r="N382">
            <v>3473.9427780000001</v>
          </cell>
          <cell r="O382">
            <v>19683.933653426313</v>
          </cell>
          <cell r="P382">
            <v>0.92035733581868362</v>
          </cell>
          <cell r="Q382">
            <v>7.9642664181316283E-2</v>
          </cell>
          <cell r="R382">
            <v>18116.25273569917</v>
          </cell>
          <cell r="S382">
            <v>1567.6809177271421</v>
          </cell>
          <cell r="T382">
            <v>5041.6236957271431</v>
          </cell>
        </row>
        <row r="383">
          <cell r="A383" t="str">
            <v>Montana</v>
          </cell>
          <cell r="B383" t="str">
            <v>NO</v>
          </cell>
          <cell r="C383" t="str">
            <v>West</v>
          </cell>
          <cell r="D383">
            <v>270619</v>
          </cell>
          <cell r="E383">
            <v>67200.691275167788</v>
          </cell>
          <cell r="F383">
            <v>3.552</v>
          </cell>
          <cell r="G383">
            <v>18919.113534675616</v>
          </cell>
          <cell r="H383">
            <v>1.6328723236591534E-2</v>
          </cell>
          <cell r="I383">
            <v>184514.57257348433</v>
          </cell>
          <cell r="J383">
            <v>184665.8103674844</v>
          </cell>
          <cell r="K383">
            <v>40868.662950180973</v>
          </cell>
          <cell r="L383">
            <v>2.2120000000000002</v>
          </cell>
          <cell r="M383">
            <v>18475.887409665898</v>
          </cell>
          <cell r="N383">
            <v>2311.7279130000002</v>
          </cell>
          <cell r="O383">
            <v>16164.159496665898</v>
          </cell>
          <cell r="P383">
            <v>0.86094897590144914</v>
          </cell>
          <cell r="Q383">
            <v>0.13905102409855077</v>
          </cell>
          <cell r="R383">
            <v>13916.516564962189</v>
          </cell>
          <cell r="S383">
            <v>2247.6429317037082</v>
          </cell>
          <cell r="T383">
            <v>4559.3708447037097</v>
          </cell>
        </row>
        <row r="384">
          <cell r="A384" t="str">
            <v>Nebraska</v>
          </cell>
          <cell r="B384" t="str">
            <v>Yes</v>
          </cell>
          <cell r="C384" t="str">
            <v>Plains</v>
          </cell>
          <cell r="D384">
            <v>906596</v>
          </cell>
          <cell r="E384">
            <v>181319.2</v>
          </cell>
          <cell r="F384">
            <v>3.605</v>
          </cell>
          <cell r="G384">
            <v>50296.588072122053</v>
          </cell>
          <cell r="H384">
            <v>5.4702571406297931E-2</v>
          </cell>
          <cell r="I384">
            <v>550000</v>
          </cell>
          <cell r="J384">
            <v>550000</v>
          </cell>
          <cell r="K384">
            <v>105234.65703971119</v>
          </cell>
          <cell r="L384">
            <v>2.1429999999999998</v>
          </cell>
          <cell r="M384">
            <v>49106.232869673913</v>
          </cell>
          <cell r="N384">
            <v>4584.4233770000001</v>
          </cell>
          <cell r="O384">
            <v>44521.809492673914</v>
          </cell>
          <cell r="P384">
            <v>0.95845778810280968</v>
          </cell>
          <cell r="Q384">
            <v>4.1542211897190436E-2</v>
          </cell>
          <cell r="R384">
            <v>42672.275048682917</v>
          </cell>
          <cell r="S384">
            <v>1849.5344439910043</v>
          </cell>
          <cell r="T384">
            <v>6433.957820990996</v>
          </cell>
        </row>
        <row r="385">
          <cell r="A385" t="str">
            <v>Nevada</v>
          </cell>
          <cell r="B385" t="str">
            <v>NO</v>
          </cell>
          <cell r="C385" t="str">
            <v>West</v>
          </cell>
          <cell r="D385">
            <v>47974</v>
          </cell>
          <cell r="E385">
            <v>11913.006711409396</v>
          </cell>
          <cell r="F385">
            <v>3.8050000000000002</v>
          </cell>
          <cell r="G385">
            <v>3130.8821843388687</v>
          </cell>
          <cell r="H385">
            <v>2.8946754239437818E-3</v>
          </cell>
          <cell r="I385">
            <v>32709.832290564733</v>
          </cell>
          <cell r="J385">
            <v>32736.642979870951</v>
          </cell>
          <cell r="K385">
            <v>7244.9947578402926</v>
          </cell>
          <cell r="L385">
            <v>2.6459999999999999</v>
          </cell>
          <cell r="M385">
            <v>2738.0932569313277</v>
          </cell>
          <cell r="N385">
            <v>145.19537</v>
          </cell>
          <cell r="O385">
            <v>2592.8978869313278</v>
          </cell>
          <cell r="P385">
            <v>0.81295905487390607</v>
          </cell>
          <cell r="Q385">
            <v>0.18704094512609393</v>
          </cell>
          <cell r="R385">
            <v>2107.9198155442405</v>
          </cell>
          <cell r="S385">
            <v>484.97807138708737</v>
          </cell>
          <cell r="T385">
            <v>630.17344138708722</v>
          </cell>
        </row>
        <row r="386">
          <cell r="A386" t="str">
            <v>New Hampshire</v>
          </cell>
          <cell r="B386" t="str">
            <v>NO</v>
          </cell>
          <cell r="C386" t="str">
            <v>Atlantic</v>
          </cell>
          <cell r="D386">
            <v>13389</v>
          </cell>
          <cell r="E386">
            <v>3019.0882352941176</v>
          </cell>
          <cell r="F386">
            <v>3.7850000000000001</v>
          </cell>
          <cell r="G386">
            <v>797.64550470121992</v>
          </cell>
          <cell r="H386">
            <v>8.0787112292456944E-4</v>
          </cell>
          <cell r="I386">
            <v>9128.9436890476354</v>
          </cell>
          <cell r="J386">
            <v>9136.4262487491596</v>
          </cell>
          <cell r="K386">
            <v>1906.1608720411916</v>
          </cell>
          <cell r="L386">
            <v>2.2549999999999999</v>
          </cell>
          <cell r="M386">
            <v>845.30415611582782</v>
          </cell>
          <cell r="N386">
            <v>25.38134432</v>
          </cell>
          <cell r="O386">
            <v>819.92281179582778</v>
          </cell>
          <cell r="P386">
            <v>0.9975820173572274</v>
          </cell>
          <cell r="Q386">
            <v>2.4179826427725595E-3</v>
          </cell>
          <cell r="R386">
            <v>817.94025266849212</v>
          </cell>
          <cell r="S386">
            <v>1.9825591273355836</v>
          </cell>
          <cell r="T386">
            <v>27.363903447335701</v>
          </cell>
        </row>
        <row r="387">
          <cell r="A387" t="str">
            <v>New Jersey</v>
          </cell>
          <cell r="B387" t="str">
            <v>NO</v>
          </cell>
          <cell r="C387" t="str">
            <v>Atlantic</v>
          </cell>
          <cell r="D387">
            <v>55991</v>
          </cell>
          <cell r="E387">
            <v>12625.421568627451</v>
          </cell>
          <cell r="F387">
            <v>3.7629999999999999</v>
          </cell>
          <cell r="G387">
            <v>3355.147905561374</v>
          </cell>
          <cell r="H387">
            <v>3.3784085475890334E-3</v>
          </cell>
          <cell r="I387">
            <v>38176.016587756079</v>
          </cell>
          <cell r="J387">
            <v>38207.307647599839</v>
          </cell>
          <cell r="K387">
            <v>7971.3087897870173</v>
          </cell>
          <cell r="L387">
            <v>2.3119999999999998</v>
          </cell>
          <cell r="M387">
            <v>3447.7979194580525</v>
          </cell>
          <cell r="N387">
            <v>117.5866604</v>
          </cell>
          <cell r="O387">
            <v>3330.2112590580527</v>
          </cell>
          <cell r="P387">
            <v>0.8844223694800325</v>
          </cell>
          <cell r="Q387">
            <v>0.11557763051996744</v>
          </cell>
          <cell r="R387">
            <v>2945.3133326052052</v>
          </cell>
          <cell r="S387">
            <v>384.89792645284723</v>
          </cell>
          <cell r="T387">
            <v>502.48458685284731</v>
          </cell>
        </row>
        <row r="388">
          <cell r="A388" t="str">
            <v>New Mexico</v>
          </cell>
          <cell r="B388" t="str">
            <v>NO</v>
          </cell>
          <cell r="C388" t="str">
            <v>West</v>
          </cell>
          <cell r="D388">
            <v>130982</v>
          </cell>
          <cell r="E388">
            <v>32525.731543624162</v>
          </cell>
          <cell r="F388">
            <v>3.4790000000000001</v>
          </cell>
          <cell r="G388">
            <v>9349.1611220535106</v>
          </cell>
          <cell r="H388">
            <v>7.9032471000751326E-3</v>
          </cell>
          <cell r="I388">
            <v>89306.692230849003</v>
          </cell>
          <cell r="J388">
            <v>89379.892666641448</v>
          </cell>
          <cell r="K388">
            <v>19780.795918027205</v>
          </cell>
          <cell r="L388">
            <v>2.024</v>
          </cell>
          <cell r="M388">
            <v>9773.1205128592901</v>
          </cell>
          <cell r="N388">
            <v>226.40099559999999</v>
          </cell>
          <cell r="O388">
            <v>9546.719517259291</v>
          </cell>
          <cell r="P388">
            <v>0.98300663112786191</v>
          </cell>
          <cell r="Q388">
            <v>1.6993368872138124E-2</v>
          </cell>
          <cell r="R388">
            <v>9384.488590983663</v>
          </cell>
          <cell r="S388">
            <v>162.23092627562752</v>
          </cell>
          <cell r="T388">
            <v>388.63192187562709</v>
          </cell>
        </row>
        <row r="389">
          <cell r="A389" t="str">
            <v>New York</v>
          </cell>
          <cell r="B389" t="str">
            <v>NO</v>
          </cell>
          <cell r="C389" t="str">
            <v>Atlantic</v>
          </cell>
          <cell r="D389">
            <v>313194</v>
          </cell>
          <cell r="E389">
            <v>70622.176470588238</v>
          </cell>
          <cell r="F389">
            <v>3.9380000000000002</v>
          </cell>
          <cell r="G389">
            <v>17933.51357810773</v>
          </cell>
          <cell r="H389">
            <v>1.8897631523880621E-2</v>
          </cell>
          <cell r="I389">
            <v>213543.23621985101</v>
          </cell>
          <cell r="J389">
            <v>213718.26742480727</v>
          </cell>
          <cell r="K389">
            <v>44588.703275679218</v>
          </cell>
          <cell r="L389">
            <v>2.3610000000000002</v>
          </cell>
          <cell r="M389">
            <v>18885.515999864132</v>
          </cell>
          <cell r="N389">
            <v>1017.117385</v>
          </cell>
          <cell r="O389">
            <v>17868.398614864131</v>
          </cell>
          <cell r="P389">
            <v>0.94455002257715126</v>
          </cell>
          <cell r="Q389">
            <v>5.5449977422848698E-2</v>
          </cell>
          <cell r="R389">
            <v>16877.596315087452</v>
          </cell>
          <cell r="S389">
            <v>990.80229977667705</v>
          </cell>
          <cell r="T389">
            <v>2007.9196847766798</v>
          </cell>
        </row>
        <row r="390">
          <cell r="A390" t="str">
            <v>North Carolina</v>
          </cell>
          <cell r="B390" t="str">
            <v>Yes</v>
          </cell>
          <cell r="C390" t="str">
            <v>Atlantic</v>
          </cell>
          <cell r="D390">
            <v>417600</v>
          </cell>
          <cell r="E390">
            <v>94164.705882352937</v>
          </cell>
          <cell r="F390">
            <v>3.6179999999999999</v>
          </cell>
          <cell r="G390">
            <v>26026.729099600037</v>
          </cell>
          <cell r="H390">
            <v>2.519732473921131E-2</v>
          </cell>
          <cell r="I390">
            <v>290000</v>
          </cell>
          <cell r="J390">
            <v>290000</v>
          </cell>
          <cell r="K390">
            <v>60503.597122302162</v>
          </cell>
          <cell r="L390">
            <v>2.206</v>
          </cell>
          <cell r="M390">
            <v>27426.834597598441</v>
          </cell>
          <cell r="N390">
            <v>1139.244637</v>
          </cell>
          <cell r="O390">
            <v>26287.589960598441</v>
          </cell>
          <cell r="P390">
            <v>0.95450659500478807</v>
          </cell>
          <cell r="Q390">
            <v>4.5493404995211983E-2</v>
          </cell>
          <cell r="R390">
            <v>25091.677984172868</v>
          </cell>
          <cell r="S390">
            <v>1195.9119764255736</v>
          </cell>
          <cell r="T390">
            <v>2335.1566134255736</v>
          </cell>
        </row>
        <row r="391">
          <cell r="A391" t="str">
            <v>North Dakota</v>
          </cell>
          <cell r="B391" t="str">
            <v>NO</v>
          </cell>
          <cell r="C391" t="str">
            <v>Plains</v>
          </cell>
          <cell r="D391">
            <v>538408</v>
          </cell>
          <cell r="E391">
            <v>107681.60000000001</v>
          </cell>
          <cell r="F391">
            <v>3.605</v>
          </cell>
          <cell r="G391">
            <v>29870.069348127603</v>
          </cell>
          <cell r="H391">
            <v>3.2486688740874715E-2</v>
          </cell>
          <cell r="I391">
            <v>367099.58277188428</v>
          </cell>
          <cell r="J391">
            <v>367400.47678964352</v>
          </cell>
          <cell r="K391">
            <v>70296.842129426383</v>
          </cell>
          <cell r="L391">
            <v>2.1429999999999998</v>
          </cell>
          <cell r="M391">
            <v>32803.006126657201</v>
          </cell>
          <cell r="N391">
            <v>5264.5730789999998</v>
          </cell>
          <cell r="O391">
            <v>27538.433047657199</v>
          </cell>
          <cell r="P391">
            <v>0.8177232744807833</v>
          </cell>
          <cell r="Q391">
            <v>0.18227672551921664</v>
          </cell>
          <cell r="R391">
            <v>22518.817645800063</v>
          </cell>
          <cell r="S391">
            <v>5019.615401857136</v>
          </cell>
          <cell r="T391">
            <v>10284.188480857138</v>
          </cell>
        </row>
        <row r="392">
          <cell r="A392" t="str">
            <v>Ohio</v>
          </cell>
          <cell r="B392" t="str">
            <v>NO</v>
          </cell>
          <cell r="C392" t="str">
            <v>Midwest</v>
          </cell>
          <cell r="D392">
            <v>419513</v>
          </cell>
          <cell r="E392">
            <v>70529.478165938868</v>
          </cell>
          <cell r="F392">
            <v>3.6110000000000002</v>
          </cell>
          <cell r="G392">
            <v>19531.841087216522</v>
          </cell>
          <cell r="H392">
            <v>2.5312752139178052E-2</v>
          </cell>
          <cell r="I392">
            <v>286034.09917271201</v>
          </cell>
          <cell r="J392">
            <v>286268.54768029775</v>
          </cell>
          <cell r="K392">
            <v>41784.539568242217</v>
          </cell>
          <cell r="L392">
            <v>2.1850000000000001</v>
          </cell>
          <cell r="M392">
            <v>19123.359070133738</v>
          </cell>
          <cell r="N392">
            <v>2655.3104269999999</v>
          </cell>
          <cell r="O392">
            <v>16468.048643133738</v>
          </cell>
          <cell r="P392">
            <v>0.9979372120154637</v>
          </cell>
          <cell r="Q392">
            <v>2.0627879845362199E-3</v>
          </cell>
          <cell r="R392">
            <v>16434.078550263923</v>
          </cell>
          <cell r="S392">
            <v>33.970092869814273</v>
          </cell>
          <cell r="T392">
            <v>2689.2805198698152</v>
          </cell>
        </row>
        <row r="393">
          <cell r="A393" t="str">
            <v>Oklahoma</v>
          </cell>
          <cell r="B393" t="str">
            <v>NO</v>
          </cell>
          <cell r="C393" t="str">
            <v>Plains</v>
          </cell>
          <cell r="D393">
            <v>351180</v>
          </cell>
          <cell r="E393">
            <v>70236</v>
          </cell>
          <cell r="F393">
            <v>3.605</v>
          </cell>
          <cell r="G393">
            <v>19482.940360610264</v>
          </cell>
          <cell r="H393">
            <v>2.1189646795776406E-2</v>
          </cell>
          <cell r="I393">
            <v>239443.00879227338</v>
          </cell>
          <cell r="J393">
            <v>239639.26880541712</v>
          </cell>
          <cell r="K393">
            <v>45851.556847245876</v>
          </cell>
          <cell r="L393">
            <v>2.1429999999999998</v>
          </cell>
          <cell r="M393">
            <v>21395.966797594905</v>
          </cell>
          <cell r="N393">
            <v>2037.7057139999999</v>
          </cell>
          <cell r="O393">
            <v>19358.261083594905</v>
          </cell>
          <cell r="P393">
            <v>0.76641667399837476</v>
          </cell>
          <cell r="Q393">
            <v>0.23358332600162526</v>
          </cell>
          <cell r="R393">
            <v>14836.494074080982</v>
          </cell>
          <cell r="S393">
            <v>4521.7670095139247</v>
          </cell>
          <cell r="T393">
            <v>6559.4727235139235</v>
          </cell>
        </row>
        <row r="394">
          <cell r="A394" t="str">
            <v>Oregon</v>
          </cell>
          <cell r="B394" t="str">
            <v>NO</v>
          </cell>
          <cell r="C394" t="str">
            <v>West</v>
          </cell>
          <cell r="D394">
            <v>232078</v>
          </cell>
          <cell r="E394">
            <v>57630.107382550334</v>
          </cell>
          <cell r="F394">
            <v>3.8050000000000002</v>
          </cell>
          <cell r="G394">
            <v>15145.888931025054</v>
          </cell>
          <cell r="H394">
            <v>1.4003220140868492E-2</v>
          </cell>
          <cell r="I394">
            <v>158236.38759181395</v>
          </cell>
          <cell r="J394">
            <v>158366.08641102453</v>
          </cell>
          <cell r="K394">
            <v>35048.232238505429</v>
          </cell>
          <cell r="L394">
            <v>2.6459999999999999</v>
          </cell>
          <cell r="M394">
            <v>13245.741586736745</v>
          </cell>
          <cell r="N394">
            <v>824.8770012</v>
          </cell>
          <cell r="O394">
            <v>12420.864585536745</v>
          </cell>
          <cell r="P394">
            <v>0.98199716228950684</v>
          </cell>
          <cell r="Q394">
            <v>1.8002837710493134E-2</v>
          </cell>
          <cell r="R394">
            <v>12197.253776179316</v>
          </cell>
          <cell r="S394">
            <v>223.61080935742959</v>
          </cell>
          <cell r="T394">
            <v>1048.4878105574298</v>
          </cell>
        </row>
        <row r="395">
          <cell r="A395" t="str">
            <v>Pennsylvania</v>
          </cell>
          <cell r="B395" t="str">
            <v>NO</v>
          </cell>
          <cell r="C395" t="str">
            <v>Atlantic</v>
          </cell>
          <cell r="D395">
            <v>312238</v>
          </cell>
          <cell r="E395">
            <v>70406.607843137259</v>
          </cell>
          <cell r="F395">
            <v>3.7629999999999999</v>
          </cell>
          <cell r="G395">
            <v>18710.233282789599</v>
          </cell>
          <cell r="H395">
            <v>1.8839947993107904E-2</v>
          </cell>
          <cell r="I395">
            <v>212891.41232211931</v>
          </cell>
          <cell r="J395">
            <v>213065.90925811787</v>
          </cell>
          <cell r="K395">
            <v>44452.599773276394</v>
          </cell>
          <cell r="L395">
            <v>2.3119999999999998</v>
          </cell>
          <cell r="M395">
            <v>19226.903016123008</v>
          </cell>
          <cell r="N395">
            <v>1078.706498</v>
          </cell>
          <cell r="O395">
            <v>18148.196518123008</v>
          </cell>
          <cell r="P395">
            <v>0.8889791310453018</v>
          </cell>
          <cell r="Q395">
            <v>0.11102086895469811</v>
          </cell>
          <cell r="R395">
            <v>16133.367970720363</v>
          </cell>
          <cell r="S395">
            <v>2014.8285474026429</v>
          </cell>
          <cell r="T395">
            <v>3093.5350454026448</v>
          </cell>
        </row>
        <row r="396">
          <cell r="A396" t="str">
            <v>Rhode Island</v>
          </cell>
          <cell r="B396" t="str">
            <v>NO</v>
          </cell>
          <cell r="C396" t="str">
            <v>Atlantic</v>
          </cell>
          <cell r="D396">
            <v>5296</v>
          </cell>
          <cell r="E396">
            <v>1194.1960784313726</v>
          </cell>
          <cell r="F396">
            <v>3.7850000000000001</v>
          </cell>
          <cell r="G396">
            <v>315.50755044421999</v>
          </cell>
          <cell r="H396">
            <v>3.1955227925972962E-4</v>
          </cell>
          <cell r="I396">
            <v>3610.9407556349447</v>
          </cell>
          <cell r="J396">
            <v>3613.9004715345095</v>
          </cell>
          <cell r="K396">
            <v>753.97923506835093</v>
          </cell>
          <cell r="L396">
            <v>2.2549999999999999</v>
          </cell>
          <cell r="M396">
            <v>334.35886255802706</v>
          </cell>
          <cell r="N396">
            <v>4.7122750389999997</v>
          </cell>
          <cell r="O396">
            <v>329.64658751902704</v>
          </cell>
          <cell r="P396">
            <v>0.99802523033718271</v>
          </cell>
          <cell r="Q396">
            <v>1.974769662817304E-3</v>
          </cell>
          <cell r="R396">
            <v>328.99561143854322</v>
          </cell>
          <cell r="S396">
            <v>0.65097608048382394</v>
          </cell>
          <cell r="T396">
            <v>5.3632511194838344</v>
          </cell>
        </row>
        <row r="397">
          <cell r="A397" t="str">
            <v>South Carolina</v>
          </cell>
          <cell r="B397" t="str">
            <v>NO</v>
          </cell>
          <cell r="C397" t="str">
            <v>South</v>
          </cell>
          <cell r="D397">
            <v>134969</v>
          </cell>
          <cell r="E397">
            <v>26993.800000000003</v>
          </cell>
          <cell r="F397">
            <v>3.6179999999999999</v>
          </cell>
          <cell r="G397">
            <v>7460.97291321172</v>
          </cell>
          <cell r="H397">
            <v>8.1438163858395859E-3</v>
          </cell>
          <cell r="I397">
            <v>92025.125159987321</v>
          </cell>
          <cell r="J397">
            <v>92100.553765585588</v>
          </cell>
          <cell r="K397">
            <v>16802.128051829804</v>
          </cell>
          <cell r="L397">
            <v>2.206</v>
          </cell>
          <cell r="M397">
            <v>7616.558500376158</v>
          </cell>
          <cell r="N397">
            <v>363.4979697</v>
          </cell>
          <cell r="O397">
            <v>7253.0605306761581</v>
          </cell>
          <cell r="P397">
            <v>0.99009445539379037</v>
          </cell>
          <cell r="Q397">
            <v>9.9055446062096351E-3</v>
          </cell>
          <cell r="R397">
            <v>7181.2150160580068</v>
          </cell>
          <cell r="S397">
            <v>71.845514618151213</v>
          </cell>
          <cell r="T397">
            <v>435.34348431815124</v>
          </cell>
        </row>
        <row r="398">
          <cell r="A398" t="str">
            <v>South Dakota</v>
          </cell>
          <cell r="B398" t="str">
            <v>NO</v>
          </cell>
          <cell r="C398" t="str">
            <v>Plains</v>
          </cell>
          <cell r="D398">
            <v>447956</v>
          </cell>
          <cell r="E398">
            <v>89591.200000000012</v>
          </cell>
          <cell r="F398">
            <v>3.605</v>
          </cell>
          <cell r="G398">
            <v>24851.927877947299</v>
          </cell>
          <cell r="H398">
            <v>2.702895785650896E-2</v>
          </cell>
          <cell r="I398">
            <v>305427.22377855127</v>
          </cell>
          <cell r="J398">
            <v>305677.56790534611</v>
          </cell>
          <cell r="K398">
            <v>58487.043678640228</v>
          </cell>
          <cell r="L398">
            <v>2.1429999999999998</v>
          </cell>
          <cell r="M398">
            <v>27292.134241082702</v>
          </cell>
          <cell r="N398">
            <v>3567.8438449999999</v>
          </cell>
          <cell r="O398">
            <v>23724.290396082703</v>
          </cell>
          <cell r="P398">
            <v>0.89751966223850932</v>
          </cell>
          <cell r="Q398">
            <v>0.10248033776149068</v>
          </cell>
          <cell r="R398">
            <v>21293.017103140457</v>
          </cell>
          <cell r="S398">
            <v>2431.273292942245</v>
          </cell>
          <cell r="T398">
            <v>5999.1171379422449</v>
          </cell>
        </row>
        <row r="399">
          <cell r="A399" t="str">
            <v>Tennessee</v>
          </cell>
          <cell r="B399" t="str">
            <v>NO</v>
          </cell>
          <cell r="C399" t="str">
            <v>Atlantic</v>
          </cell>
          <cell r="D399">
            <v>197953</v>
          </cell>
          <cell r="E399">
            <v>44636.460784313727</v>
          </cell>
          <cell r="F399">
            <v>3.605</v>
          </cell>
          <cell r="G399">
            <v>12381.819912430992</v>
          </cell>
          <cell r="H399">
            <v>1.194417151365205E-2</v>
          </cell>
          <cell r="I399">
            <v>134969.13810426818</v>
          </cell>
          <cell r="J399">
            <v>135079.76586889554</v>
          </cell>
          <cell r="K399">
            <v>28182.109425884682</v>
          </cell>
          <cell r="L399">
            <v>2.1429999999999998</v>
          </cell>
          <cell r="M399">
            <v>13150.774347123044</v>
          </cell>
          <cell r="N399">
            <v>1154.357528</v>
          </cell>
          <cell r="O399">
            <v>11996.416819123044</v>
          </cell>
          <cell r="P399">
            <v>0.98796107723642146</v>
          </cell>
          <cell r="Q399">
            <v>1.2038922763578553E-2</v>
          </cell>
          <cell r="R399">
            <v>11851.992883597926</v>
          </cell>
          <cell r="S399">
            <v>144.42393552511703</v>
          </cell>
          <cell r="T399">
            <v>1298.7814635251179</v>
          </cell>
        </row>
        <row r="400">
          <cell r="A400" t="str">
            <v>Texas</v>
          </cell>
          <cell r="B400" t="str">
            <v>Yes</v>
          </cell>
          <cell r="C400" t="str">
            <v>Plains</v>
          </cell>
          <cell r="D400">
            <v>1164301</v>
          </cell>
          <cell r="E400">
            <v>232860.2</v>
          </cell>
          <cell r="F400">
            <v>3.4860000000000002</v>
          </cell>
          <cell r="G400">
            <v>66798.680436029827</v>
          </cell>
          <cell r="H400">
            <v>7.025208427008732E-2</v>
          </cell>
          <cell r="I400">
            <v>790000</v>
          </cell>
          <cell r="J400">
            <v>790000</v>
          </cell>
          <cell r="K400">
            <v>151155.23465703972</v>
          </cell>
          <cell r="L400">
            <v>2.016</v>
          </cell>
          <cell r="M400">
            <v>74977.794968769696</v>
          </cell>
          <cell r="N400">
            <v>4693.9834529999998</v>
          </cell>
          <cell r="O400">
            <v>70283.811515769703</v>
          </cell>
          <cell r="P400">
            <v>0.95573782838758636</v>
          </cell>
          <cell r="Q400">
            <v>4.4262171612413706E-2</v>
          </cell>
          <cell r="R400">
            <v>67172.897388884172</v>
          </cell>
          <cell r="S400">
            <v>3110.9141268855374</v>
          </cell>
          <cell r="T400">
            <v>7804.8975798855245</v>
          </cell>
        </row>
        <row r="401">
          <cell r="A401" t="str">
            <v>Utah</v>
          </cell>
          <cell r="B401" t="str">
            <v>NO</v>
          </cell>
          <cell r="C401" t="str">
            <v>West</v>
          </cell>
          <cell r="D401">
            <v>96270</v>
          </cell>
          <cell r="E401">
            <v>23905.973154362415</v>
          </cell>
          <cell r="F401">
            <v>3.552</v>
          </cell>
          <cell r="G401">
            <v>6730.2852348993283</v>
          </cell>
          <cell r="H401">
            <v>5.8087798195495038E-3</v>
          </cell>
          <cell r="I401">
            <v>65639.211960909393</v>
          </cell>
          <cell r="J401">
            <v>65693.013292036878</v>
          </cell>
          <cell r="K401">
            <v>14538.617695778654</v>
          </cell>
          <cell r="L401">
            <v>2.2120000000000002</v>
          </cell>
          <cell r="M401">
            <v>6572.6119782001142</v>
          </cell>
          <cell r="N401">
            <v>254.1326335</v>
          </cell>
          <cell r="O401">
            <v>6318.4793447001139</v>
          </cell>
          <cell r="P401">
            <v>0.84486133140532671</v>
          </cell>
          <cell r="Q401">
            <v>0.15513866859467332</v>
          </cell>
          <cell r="R401">
            <v>5338.2388716203941</v>
          </cell>
          <cell r="S401">
            <v>980.24047307971955</v>
          </cell>
          <cell r="T401">
            <v>1234.3731065797201</v>
          </cell>
        </row>
        <row r="402">
          <cell r="A402" t="str">
            <v>Vermont</v>
          </cell>
          <cell r="B402" t="str">
            <v>NO</v>
          </cell>
          <cell r="C402" t="str">
            <v>Atlantic</v>
          </cell>
          <cell r="D402">
            <v>43540</v>
          </cell>
          <cell r="E402">
            <v>9817.8431372549021</v>
          </cell>
          <cell r="F402">
            <v>3.7850000000000001</v>
          </cell>
          <cell r="G402">
            <v>2593.8819385085608</v>
          </cell>
          <cell r="H402">
            <v>2.627134863853593E-3</v>
          </cell>
          <cell r="I402">
            <v>29686.6239615456</v>
          </cell>
          <cell r="J402">
            <v>29710.956671188171</v>
          </cell>
          <cell r="K402">
            <v>6198.6888019025682</v>
          </cell>
          <cell r="L402">
            <v>2.2549999999999999</v>
          </cell>
          <cell r="M402">
            <v>2748.8642137040215</v>
          </cell>
          <cell r="N402">
            <v>120.23872609999999</v>
          </cell>
          <cell r="O402">
            <v>2628.6254876040216</v>
          </cell>
          <cell r="P402">
            <v>0.98155248591541955</v>
          </cell>
          <cell r="Q402">
            <v>1.8447514084580514E-2</v>
          </cell>
          <cell r="R402">
            <v>2580.133881898359</v>
          </cell>
          <cell r="S402">
            <v>48.491605705662508</v>
          </cell>
          <cell r="T402">
            <v>168.73033180566244</v>
          </cell>
        </row>
        <row r="403">
          <cell r="A403" t="str">
            <v>Virginia</v>
          </cell>
          <cell r="B403" t="str">
            <v>NO</v>
          </cell>
          <cell r="C403" t="str">
            <v>Atlantic</v>
          </cell>
          <cell r="D403">
            <v>190119</v>
          </cell>
          <cell r="E403">
            <v>42869.970588235294</v>
          </cell>
          <cell r="F403">
            <v>3.6179999999999999</v>
          </cell>
          <cell r="G403">
            <v>11849.079764575814</v>
          </cell>
          <cell r="H403">
            <v>1.1471480321106597E-2</v>
          </cell>
          <cell r="I403">
            <v>129627.72762850455</v>
          </cell>
          <cell r="J403">
            <v>129733.97729374425</v>
          </cell>
          <cell r="K403">
            <v>27066.801018119306</v>
          </cell>
          <cell r="L403">
            <v>2.206</v>
          </cell>
          <cell r="M403">
            <v>12269.628748014191</v>
          </cell>
          <cell r="N403">
            <v>693.82031400000005</v>
          </cell>
          <cell r="O403">
            <v>11575.80843401419</v>
          </cell>
          <cell r="P403">
            <v>0.96206621526952063</v>
          </cell>
          <cell r="Q403">
            <v>3.7933784730479259E-2</v>
          </cell>
          <cell r="R403">
            <v>11136.694208797029</v>
          </cell>
          <cell r="S403">
            <v>439.11422521716054</v>
          </cell>
          <cell r="T403">
            <v>1132.9345392171617</v>
          </cell>
        </row>
        <row r="404">
          <cell r="A404" t="str">
            <v>Washington</v>
          </cell>
          <cell r="B404" t="str">
            <v>Yes</v>
          </cell>
          <cell r="C404" t="str">
            <v>West</v>
          </cell>
          <cell r="D404">
            <v>353923</v>
          </cell>
          <cell r="E404">
            <v>87886.919463087252</v>
          </cell>
          <cell r="F404">
            <v>3.883</v>
          </cell>
          <cell r="G404">
            <v>22633.767567109775</v>
          </cell>
          <cell r="H404">
            <v>2.1355155085430757E-2</v>
          </cell>
          <cell r="I404">
            <v>230000</v>
          </cell>
          <cell r="J404">
            <v>230000</v>
          </cell>
          <cell r="K404">
            <v>50901.639344262294</v>
          </cell>
          <cell r="L404">
            <v>2.5310000000000001</v>
          </cell>
          <cell r="M404">
            <v>20111.275916342271</v>
          </cell>
          <cell r="N404">
            <v>1294.316525</v>
          </cell>
          <cell r="O404">
            <v>18816.959391342272</v>
          </cell>
          <cell r="P404">
            <v>0.8301916188227414</v>
          </cell>
          <cell r="Q404">
            <v>0.16980838117725849</v>
          </cell>
          <cell r="R404">
            <v>15621.681978420227</v>
          </cell>
          <cell r="S404">
            <v>3195.2774129220425</v>
          </cell>
          <cell r="T404">
            <v>4489.5939379220436</v>
          </cell>
        </row>
        <row r="405">
          <cell r="A405" t="str">
            <v>West Virginia</v>
          </cell>
          <cell r="B405" t="str">
            <v>NO</v>
          </cell>
          <cell r="C405" t="str">
            <v>Atlantic</v>
          </cell>
          <cell r="D405">
            <v>41919</v>
          </cell>
          <cell r="E405">
            <v>9452.323529411764</v>
          </cell>
          <cell r="F405">
            <v>3.6179999999999999</v>
          </cell>
          <cell r="G405">
            <v>2612.5825122752249</v>
          </cell>
          <cell r="H405">
            <v>2.5293262829094803E-3</v>
          </cell>
          <cell r="I405">
            <v>28581.386996877129</v>
          </cell>
          <cell r="J405">
            <v>28604.813796498325</v>
          </cell>
          <cell r="K405">
            <v>5967.9107920751903</v>
          </cell>
          <cell r="L405">
            <v>2.206</v>
          </cell>
          <cell r="M405">
            <v>2705.3086092815911</v>
          </cell>
          <cell r="N405">
            <v>171.52232570000001</v>
          </cell>
          <cell r="O405">
            <v>2533.7862835815913</v>
          </cell>
          <cell r="P405">
            <v>0.90486170569834457</v>
          </cell>
          <cell r="Q405">
            <v>9.5138294301655407E-2</v>
          </cell>
          <cell r="R405">
            <v>2292.7261784367079</v>
          </cell>
          <cell r="S405">
            <v>241.06010514488315</v>
          </cell>
          <cell r="T405">
            <v>412.58243084488322</v>
          </cell>
        </row>
        <row r="406">
          <cell r="A406" t="str">
            <v>Wisconsin</v>
          </cell>
          <cell r="B406" t="str">
            <v>Yes</v>
          </cell>
          <cell r="C406" t="str">
            <v>Midwest</v>
          </cell>
          <cell r="D406">
            <v>542992</v>
          </cell>
          <cell r="E406">
            <v>91289.048034934502</v>
          </cell>
          <cell r="F406">
            <v>3.605</v>
          </cell>
          <cell r="G406">
            <v>25322.898206639253</v>
          </cell>
          <cell r="H406">
            <v>3.2763280064161467E-2</v>
          </cell>
          <cell r="I406">
            <v>330000</v>
          </cell>
          <cell r="J406">
            <v>330000</v>
          </cell>
          <cell r="K406">
            <v>48167.701863354036</v>
          </cell>
          <cell r="L406">
            <v>2.1429999999999998</v>
          </cell>
          <cell r="M406">
            <v>22476.762418737304</v>
          </cell>
          <cell r="N406">
            <v>2360.90524</v>
          </cell>
          <cell r="O406">
            <v>20115.857178737304</v>
          </cell>
          <cell r="P406">
            <v>0.98123450141910884</v>
          </cell>
          <cell r="Q406">
            <v>1.8765498580891271E-2</v>
          </cell>
          <cell r="R406">
            <v>19738.3730893963</v>
          </cell>
          <cell r="S406">
            <v>377.48408934100638</v>
          </cell>
          <cell r="T406">
            <v>2738.3893293410038</v>
          </cell>
        </row>
        <row r="407">
          <cell r="A407" t="str">
            <v>Wyoming</v>
          </cell>
          <cell r="B407" t="str">
            <v>NO</v>
          </cell>
          <cell r="C407" t="str">
            <v>West</v>
          </cell>
          <cell r="D407">
            <v>101080</v>
          </cell>
          <cell r="E407">
            <v>25100.40268456376</v>
          </cell>
          <cell r="F407">
            <v>3.552</v>
          </cell>
          <cell r="G407">
            <v>7066.554809843401</v>
          </cell>
          <cell r="H407">
            <v>6.0990076260523923E-3</v>
          </cell>
          <cell r="I407">
            <v>68918.786174392037</v>
          </cell>
          <cell r="J407">
            <v>68975.275616070285</v>
          </cell>
          <cell r="K407">
            <v>15265.020013392605</v>
          </cell>
          <cell r="L407">
            <v>2.2120000000000002</v>
          </cell>
          <cell r="M407">
            <v>6901.0036226910506</v>
          </cell>
          <cell r="N407">
            <v>343.42524609999998</v>
          </cell>
          <cell r="O407">
            <v>6557.578376591051</v>
          </cell>
          <cell r="P407">
            <v>0.7409967478520294</v>
          </cell>
          <cell r="Q407">
            <v>0.2590032521479706</v>
          </cell>
          <cell r="R407">
            <v>4859.144250838759</v>
          </cell>
          <cell r="S407">
            <v>1698.4341257522917</v>
          </cell>
          <cell r="T407">
            <v>2041.8593718522916</v>
          </cell>
        </row>
        <row r="408">
          <cell r="A408" t="str">
            <v>US</v>
          </cell>
          <cell r="D408">
            <v>16573188</v>
          </cell>
          <cell r="E408">
            <v>3390241.007949444</v>
          </cell>
          <cell r="G408">
            <v>927241.73595111805</v>
          </cell>
          <cell r="H408">
            <v>1</v>
          </cell>
          <cell r="I408">
            <v>11296437.43255673</v>
          </cell>
          <cell r="J408">
            <v>11299999.999999998</v>
          </cell>
          <cell r="K408">
            <v>2103400.0884511252</v>
          </cell>
          <cell r="M408">
            <v>945285.15341699426</v>
          </cell>
          <cell r="N408">
            <v>80043.999529490975</v>
          </cell>
          <cell r="O408">
            <v>865241.15388750343</v>
          </cell>
          <cell r="R408">
            <v>803523.50514459703</v>
          </cell>
          <cell r="S408">
            <v>61717.648742906378</v>
          </cell>
          <cell r="T408">
            <v>141761.6482723974</v>
          </cell>
        </row>
      </sheetData>
      <sheetData sheetId="2">
        <row r="6">
          <cell r="A6" t="str">
            <v>Alabama</v>
          </cell>
          <cell r="B6" t="str">
            <v>AL</v>
          </cell>
          <cell r="C6" t="str">
            <v>01</v>
          </cell>
          <cell r="D6">
            <v>69226.970809999999</v>
          </cell>
          <cell r="E6">
            <v>1.30273289452123E-2</v>
          </cell>
          <cell r="F6">
            <v>901.84252062248004</v>
          </cell>
          <cell r="G6">
            <v>0.83554077159786422</v>
          </cell>
          <cell r="H6">
            <v>2.0427873500132532E-2</v>
          </cell>
          <cell r="I6">
            <v>1.6546086830900159E-2</v>
          </cell>
          <cell r="J6">
            <v>0.12748526807110316</v>
          </cell>
          <cell r="K6">
            <v>753.52619554066973</v>
          </cell>
          <cell r="L6">
            <v>18.422724928316686</v>
          </cell>
          <cell r="M6">
            <v>14.921964654017422</v>
          </cell>
          <cell r="N6">
            <v>114.97163549947625</v>
          </cell>
          <cell r="O6">
            <v>7.3599388030110093</v>
          </cell>
          <cell r="P6">
            <v>8.0167704937734587</v>
          </cell>
          <cell r="Q6">
            <v>10.084064689263208</v>
          </cell>
          <cell r="R6">
            <v>2503.1084389967759</v>
          </cell>
          <cell r="S6">
            <v>13262.662343714528</v>
          </cell>
        </row>
        <row r="7">
          <cell r="A7" t="str">
            <v>Alaska</v>
          </cell>
          <cell r="B7" t="str">
            <v>AK</v>
          </cell>
          <cell r="C7" t="str">
            <v>02</v>
          </cell>
          <cell r="D7">
            <v>5258.5558179999998</v>
          </cell>
          <cell r="E7">
            <v>1.7034575577616402E-2</v>
          </cell>
          <cell r="F7">
            <v>89.577266510835443</v>
          </cell>
          <cell r="G7">
            <v>0.87768974177289427</v>
          </cell>
          <cell r="H7">
            <v>2.6170713044598587E-2</v>
          </cell>
          <cell r="I7">
            <v>5.7160669428955729E-3</v>
          </cell>
          <cell r="J7">
            <v>9.0423478239611596E-2</v>
          </cell>
          <cell r="K7">
            <v>78.621047912616888</v>
          </cell>
          <cell r="L7">
            <v>2.3443009371746051</v>
          </cell>
          <cell r="M7">
            <v>0.51202965193753314</v>
          </cell>
          <cell r="N7">
            <v>8.0998880091064169</v>
          </cell>
          <cell r="O7">
            <v>6.0278178408332295</v>
          </cell>
          <cell r="P7">
            <v>6.9821352953318101</v>
          </cell>
          <cell r="Q7">
            <v>8.7152820312105899</v>
          </cell>
          <cell r="R7">
            <v>388.91369963007224</v>
          </cell>
          <cell r="S7">
            <v>1002.7233364260476</v>
          </cell>
        </row>
        <row r="8">
          <cell r="A8" t="str">
            <v>Arizona</v>
          </cell>
          <cell r="B8" t="str">
            <v>AZ</v>
          </cell>
          <cell r="C8" t="str">
            <v>04</v>
          </cell>
          <cell r="D8">
            <v>65785.730039999995</v>
          </cell>
          <cell r="E8">
            <v>2.2003683226581541E-2</v>
          </cell>
          <cell r="F8">
            <v>1447.5283646295693</v>
          </cell>
          <cell r="G8">
            <v>0.70549609532595314</v>
          </cell>
          <cell r="H8">
            <v>6.976501378555057E-2</v>
          </cell>
          <cell r="I8">
            <v>3.216909362906388E-2</v>
          </cell>
          <cell r="J8">
            <v>0.19256979725943241</v>
          </cell>
          <cell r="K8">
            <v>1021.2256091197237</v>
          </cell>
          <cell r="L8">
            <v>100.98683631335737</v>
          </cell>
          <cell r="M8">
            <v>46.565675492494336</v>
          </cell>
          <cell r="N8">
            <v>278.75024370399393</v>
          </cell>
          <cell r="O8">
            <v>8.4784845243171905</v>
          </cell>
          <cell r="P8">
            <v>7.0466019317264923</v>
          </cell>
          <cell r="Q8">
            <v>8.8742281305583823</v>
          </cell>
          <cell r="R8">
            <v>11910.953664386181</v>
          </cell>
          <cell r="S8">
            <v>38019.455532744658</v>
          </cell>
        </row>
        <row r="9">
          <cell r="A9" t="str">
            <v>Arkansas</v>
          </cell>
          <cell r="B9" t="str">
            <v>AR</v>
          </cell>
          <cell r="C9" t="str">
            <v>05</v>
          </cell>
          <cell r="D9">
            <v>35754.796900000001</v>
          </cell>
          <cell r="E9">
            <v>2.0397644898203532E-2</v>
          </cell>
          <cell r="F9">
            <v>729.31365057358846</v>
          </cell>
          <cell r="G9">
            <v>0.79224808347785403</v>
          </cell>
          <cell r="H9">
            <v>8.0628256873101004E-2</v>
          </cell>
          <cell r="I9">
            <v>4.0379814721687602E-3</v>
          </cell>
          <cell r="J9">
            <v>0.1230856781768762</v>
          </cell>
          <cell r="K9">
            <v>577.7973419211628</v>
          </cell>
          <cell r="L9">
            <v>58.803288359506318</v>
          </cell>
          <cell r="M9">
            <v>2.9449550084159113</v>
          </cell>
          <cell r="N9">
            <v>89.76806528450345</v>
          </cell>
          <cell r="O9">
            <v>9.061504339206099</v>
          </cell>
          <cell r="P9">
            <v>6.7890601302641738</v>
          </cell>
          <cell r="Q9">
            <v>9.7448127449840918</v>
          </cell>
          <cell r="R9">
            <v>6489.3516747637759</v>
          </cell>
          <cell r="S9">
            <v>9645.6615022124752</v>
          </cell>
        </row>
        <row r="10">
          <cell r="A10" t="str">
            <v>California</v>
          </cell>
          <cell r="B10" t="str">
            <v>CA</v>
          </cell>
          <cell r="C10" t="str">
            <v>06</v>
          </cell>
          <cell r="D10">
            <v>340114.93680000002</v>
          </cell>
          <cell r="E10">
            <v>7.9252992809229032E-3</v>
          </cell>
          <cell r="F10">
            <v>2695.5126640521789</v>
          </cell>
          <cell r="G10">
            <v>0.80952815945247147</v>
          </cell>
          <cell r="H10">
            <v>6.9643467543718779E-2</v>
          </cell>
          <cell r="I10">
            <v>1.9925993377065181E-2</v>
          </cell>
          <cell r="J10">
            <v>0.10090237962674463</v>
          </cell>
          <cell r="K10">
            <v>2182.0934057109885</v>
          </cell>
          <cell r="L10">
            <v>187.72484873260086</v>
          </cell>
          <cell r="M10">
            <v>53.710767491699038</v>
          </cell>
          <cell r="N10">
            <v>271.98364211689073</v>
          </cell>
          <cell r="O10">
            <v>7.3901548467876701</v>
          </cell>
          <cell r="P10">
            <v>8.6265299823483375</v>
          </cell>
          <cell r="Q10">
            <v>9.8942170446971485</v>
          </cell>
          <cell r="R10">
            <v>25402.018310103547</v>
          </cell>
          <cell r="S10">
            <v>33715.383486560189</v>
          </cell>
        </row>
        <row r="11">
          <cell r="A11" t="str">
            <v>Colorado</v>
          </cell>
          <cell r="B11" t="str">
            <v>CO</v>
          </cell>
          <cell r="C11" t="str">
            <v>08</v>
          </cell>
          <cell r="D11">
            <v>52151.611109999998</v>
          </cell>
          <cell r="E11">
            <v>1.7131370525453372E-2</v>
          </cell>
          <cell r="F11">
            <v>893.42857342476054</v>
          </cell>
          <cell r="G11">
            <v>0.77291050183350418</v>
          </cell>
          <cell r="H11">
            <v>0.10677179591041734</v>
          </cell>
          <cell r="I11">
            <v>1.1690942121067185E-2</v>
          </cell>
          <cell r="J11">
            <v>0.10862676013501132</v>
          </cell>
          <cell r="K11">
            <v>690.54032703812345</v>
          </cell>
          <cell r="L11">
            <v>95.392973302243846</v>
          </cell>
          <cell r="M11">
            <v>10.445021741216499</v>
          </cell>
          <cell r="N11">
            <v>97.050251343176811</v>
          </cell>
          <cell r="O11">
            <v>8.423570233163252</v>
          </cell>
          <cell r="P11">
            <v>8.684520826626871</v>
          </cell>
          <cell r="Q11">
            <v>9.1401440008845558</v>
          </cell>
          <cell r="R11">
            <v>11324.529939417564</v>
          </cell>
          <cell r="S11">
            <v>11820.739242046126</v>
          </cell>
        </row>
        <row r="12">
          <cell r="A12" t="str">
            <v>Connecticut</v>
          </cell>
          <cell r="B12" t="str">
            <v>CT</v>
          </cell>
          <cell r="C12" t="str">
            <v>09</v>
          </cell>
          <cell r="D12">
            <v>31638.569</v>
          </cell>
          <cell r="E12">
            <v>1.1457890489007922E-3</v>
          </cell>
          <cell r="F12">
            <v>36.251125883092087</v>
          </cell>
          <cell r="G12">
            <v>0.8108076478636379</v>
          </cell>
          <cell r="H12">
            <v>6.8388777724256805E-2</v>
          </cell>
          <cell r="I12">
            <v>1.1235544691648511E-2</v>
          </cell>
          <cell r="J12">
            <v>0.10956802972045679</v>
          </cell>
          <cell r="K12">
            <v>29.392690109678536</v>
          </cell>
          <cell r="L12">
            <v>2.4791701902728374</v>
          </cell>
          <cell r="M12">
            <v>0.40730114498205722</v>
          </cell>
          <cell r="N12">
            <v>3.9719644381586541</v>
          </cell>
          <cell r="O12">
            <v>7.884499080365404</v>
          </cell>
          <cell r="P12">
            <v>8.5274979385459577</v>
          </cell>
          <cell r="Q12">
            <v>9.4913910927034006</v>
          </cell>
          <cell r="R12">
            <v>314.43597938221097</v>
          </cell>
          <cell r="S12">
            <v>466.24401251647072</v>
          </cell>
        </row>
        <row r="13">
          <cell r="A13" t="str">
            <v>Delaware</v>
          </cell>
          <cell r="B13" t="str">
            <v>DE</v>
          </cell>
          <cell r="C13" t="str">
            <v>10</v>
          </cell>
          <cell r="D13">
            <v>10177.585230000001</v>
          </cell>
          <cell r="E13">
            <v>1.0855209102074315E-2</v>
          </cell>
          <cell r="F13">
            <v>110.47981582583311</v>
          </cell>
          <cell r="G13">
            <v>0.81257801239343697</v>
          </cell>
          <cell r="H13">
            <v>5.0720061352590988E-2</v>
          </cell>
          <cell r="I13">
            <v>8.2860236456010379E-3</v>
          </cell>
          <cell r="J13">
            <v>0.12841590260837096</v>
          </cell>
          <cell r="K13">
            <v>89.773469153348458</v>
          </cell>
          <cell r="L13">
            <v>5.6035430369092083</v>
          </cell>
          <cell r="M13">
            <v>0.91543836629450093</v>
          </cell>
          <cell r="N13">
            <v>14.187365269280946</v>
          </cell>
          <cell r="O13">
            <v>7.150688383629987</v>
          </cell>
          <cell r="P13">
            <v>7.1857811135481464</v>
          </cell>
          <cell r="Q13">
            <v>9.4320438597492853</v>
          </cell>
          <cell r="R13">
            <v>783.63686631029168</v>
          </cell>
          <cell r="S13">
            <v>1631.5623966756889</v>
          </cell>
        </row>
        <row r="14">
          <cell r="A14" t="str">
            <v>District of Columbia</v>
          </cell>
          <cell r="B14" t="str">
            <v>DC</v>
          </cell>
          <cell r="C14" t="str">
            <v>11</v>
          </cell>
          <cell r="D14">
            <v>3621.9592980000002</v>
          </cell>
          <cell r="E14">
            <v>1.9832480042016806E-3</v>
          </cell>
          <cell r="F14">
            <v>7.1832435490582203</v>
          </cell>
          <cell r="G14">
            <v>0.80708474401773267</v>
          </cell>
          <cell r="H14">
            <v>4.0603794936633394E-2</v>
          </cell>
          <cell r="I14">
            <v>4.5048472881690317E-4</v>
          </cell>
          <cell r="J14">
            <v>0.15186097631681703</v>
          </cell>
          <cell r="K14">
            <v>5.7974862810086831</v>
          </cell>
          <cell r="L14">
            <v>0.29166694804585463</v>
          </cell>
          <cell r="M14">
            <v>3.2359415222232616E-3</v>
          </cell>
          <cell r="N14">
            <v>1.0908543784814591</v>
          </cell>
          <cell r="O14">
            <v>9.6905312438530977</v>
          </cell>
          <cell r="P14">
            <v>9.958877767705383</v>
          </cell>
          <cell r="Q14">
            <v>9.0183175154483664</v>
          </cell>
          <cell r="R14">
            <v>30.098138141896499</v>
          </cell>
          <cell r="S14">
            <v>121.28478527941226</v>
          </cell>
        </row>
        <row r="15">
          <cell r="A15" t="str">
            <v>Florida</v>
          </cell>
          <cell r="B15" t="str">
            <v>FL</v>
          </cell>
          <cell r="C15" t="str">
            <v>12</v>
          </cell>
          <cell r="D15">
            <v>215550.7493</v>
          </cell>
          <cell r="E15">
            <v>1.6088522555277103E-2</v>
          </cell>
          <cell r="F15">
            <v>3467.8930919199302</v>
          </cell>
          <cell r="G15">
            <v>0.7635675303113173</v>
          </cell>
          <cell r="H15">
            <v>7.7304649261940139E-2</v>
          </cell>
          <cell r="I15">
            <v>2.1389253105666303E-2</v>
          </cell>
          <cell r="J15">
            <v>0.13773856732107623</v>
          </cell>
          <cell r="K15">
            <v>2647.9705635809792</v>
          </cell>
          <cell r="L15">
            <v>268.08425914877535</v>
          </cell>
          <cell r="M15">
            <v>74.175643086467076</v>
          </cell>
          <cell r="N15">
            <v>477.66262610370848</v>
          </cell>
          <cell r="O15">
            <v>8.1954559499279025</v>
          </cell>
          <cell r="P15">
            <v>8.1107596312465802</v>
          </cell>
          <cell r="Q15">
            <v>9.715643303043386</v>
          </cell>
          <cell r="R15">
            <v>32711.329398474012</v>
          </cell>
          <cell r="S15">
            <v>58309.620485563297</v>
          </cell>
        </row>
        <row r="16">
          <cell r="A16" t="str">
            <v>Georgia</v>
          </cell>
          <cell r="B16" t="str">
            <v>GA</v>
          </cell>
          <cell r="C16" t="str">
            <v>13</v>
          </cell>
          <cell r="D16">
            <v>122802.1859</v>
          </cell>
          <cell r="E16">
            <v>3.2862995747809068E-3</v>
          </cell>
          <cell r="F16">
            <v>403.56477130533585</v>
          </cell>
          <cell r="G16">
            <v>0.84564360447500031</v>
          </cell>
          <cell r="H16">
            <v>5.0876022994450203E-2</v>
          </cell>
          <cell r="I16">
            <v>6.7738764823506643E-4</v>
          </cell>
          <cell r="J16">
            <v>0.1028029848823144</v>
          </cell>
          <cell r="K16">
            <v>341.27196784577336</v>
          </cell>
          <cell r="L16">
            <v>20.531770584680306</v>
          </cell>
          <cell r="M16">
            <v>0.27336979134504386</v>
          </cell>
          <cell r="N16">
            <v>41.487663083537107</v>
          </cell>
          <cell r="O16">
            <v>8.4196052692384171</v>
          </cell>
          <cell r="P16">
            <v>7.0203765549072799</v>
          </cell>
          <cell r="Q16">
            <v>10.00838514825185</v>
          </cell>
          <cell r="R16">
            <v>2438.5668838531524</v>
          </cell>
          <cell r="S16">
            <v>4184.2298978745366</v>
          </cell>
        </row>
        <row r="17">
          <cell r="A17" t="str">
            <v>Hawaii</v>
          </cell>
          <cell r="B17" t="str">
            <v>HI</v>
          </cell>
          <cell r="C17" t="str">
            <v>15</v>
          </cell>
          <cell r="D17">
            <v>10635.42844</v>
          </cell>
          <cell r="E17">
            <v>2.6114922697628239E-2</v>
          </cell>
          <cell r="F17">
            <v>277.74339156675688</v>
          </cell>
          <cell r="G17">
            <v>0.78004257836494717</v>
          </cell>
          <cell r="H17">
            <v>7.525300378035224E-2</v>
          </cell>
          <cell r="I17">
            <v>3.6510912573075164E-3</v>
          </cell>
          <cell r="J17">
            <v>0.14105332659739306</v>
          </cell>
          <cell r="K17">
            <v>216.65167128155815</v>
          </cell>
          <cell r="L17">
            <v>20.901024495541009</v>
          </cell>
          <cell r="M17">
            <v>1.0140664687243242</v>
          </cell>
          <cell r="N17">
            <v>39.176629320933387</v>
          </cell>
          <cell r="O17">
            <v>8.5174824631750212</v>
          </cell>
          <cell r="P17">
            <v>8.8445234859975912</v>
          </cell>
          <cell r="Q17">
            <v>10.241634843584224</v>
          </cell>
          <cell r="R17">
            <v>2453.8969802292772</v>
          </cell>
          <cell r="S17">
            <v>3939.8867303904153</v>
          </cell>
        </row>
        <row r="18">
          <cell r="A18" t="str">
            <v>Idaho</v>
          </cell>
          <cell r="B18" t="str">
            <v>ID</v>
          </cell>
          <cell r="C18" t="str">
            <v>16</v>
          </cell>
          <cell r="D18">
            <v>17198.715359999998</v>
          </cell>
          <cell r="E18">
            <v>3.5474736432772304E-2</v>
          </cell>
          <cell r="F18">
            <v>610.11989437827253</v>
          </cell>
          <cell r="G18">
            <v>0.80799423640206935</v>
          </cell>
          <cell r="H18">
            <v>6.2193512673356169E-2</v>
          </cell>
          <cell r="I18">
            <v>9.5825774280097996E-3</v>
          </cell>
          <cell r="J18">
            <v>0.12022967349656469</v>
          </cell>
          <cell r="K18">
            <v>492.97335817188355</v>
          </cell>
          <cell r="L18">
            <v>37.94549938328182</v>
          </cell>
          <cell r="M18">
            <v>5.8465211282489573</v>
          </cell>
          <cell r="N18">
            <v>73.354515694858236</v>
          </cell>
          <cell r="O18">
            <v>7.5127946335697722</v>
          </cell>
          <cell r="P18">
            <v>5.9066415097993987</v>
          </cell>
          <cell r="Q18">
            <v>8.7761426840268779</v>
          </cell>
          <cell r="R18">
            <v>5050.7835278403809</v>
          </cell>
          <cell r="S18">
            <v>9348.2220962797728</v>
          </cell>
        </row>
        <row r="19">
          <cell r="A19" t="str">
            <v>Illinois</v>
          </cell>
          <cell r="B19" t="str">
            <v>IL</v>
          </cell>
          <cell r="C19" t="str">
            <v>17</v>
          </cell>
          <cell r="D19">
            <v>107314.1027</v>
          </cell>
          <cell r="E19">
            <v>4.9391372145810722E-3</v>
          </cell>
          <cell r="F19">
            <v>530.03907829494517</v>
          </cell>
          <cell r="G19">
            <v>0.80477032345905097</v>
          </cell>
          <cell r="H19">
            <v>6.8596770917050978E-2</v>
          </cell>
          <cell r="I19">
            <v>1.0617498810898822E-2</v>
          </cell>
          <cell r="J19">
            <v>0.11601540681299921</v>
          </cell>
          <cell r="K19">
            <v>426.55972048536029</v>
          </cell>
          <cell r="L19">
            <v>36.358969230883204</v>
          </cell>
          <cell r="M19">
            <v>5.6276892835264878</v>
          </cell>
          <cell r="N19">
            <v>61.492699295175207</v>
          </cell>
          <cell r="O19">
            <v>7.7048666173504712</v>
          </cell>
          <cell r="P19">
            <v>8.3381754050551962</v>
          </cell>
          <cell r="Q19">
            <v>9.5393068912375689</v>
          </cell>
          <cell r="R19">
            <v>4718.9615390624667</v>
          </cell>
          <cell r="S19">
            <v>7121.1744924121731</v>
          </cell>
        </row>
        <row r="20">
          <cell r="A20" t="str">
            <v>Indiana</v>
          </cell>
          <cell r="B20" t="str">
            <v>IN</v>
          </cell>
          <cell r="C20" t="str">
            <v>18</v>
          </cell>
          <cell r="D20">
            <v>83182.775680000006</v>
          </cell>
          <cell r="E20">
            <v>6.8751158289315105E-3</v>
          </cell>
          <cell r="F20">
            <v>571.89121777202718</v>
          </cell>
          <cell r="G20">
            <v>0.841440503806684</v>
          </cell>
          <cell r="H20">
            <v>4.2823824942092782E-2</v>
          </cell>
          <cell r="I20">
            <v>2.4564515228746968E-2</v>
          </cell>
          <cell r="J20">
            <v>9.1171156022476232E-2</v>
          </cell>
          <cell r="K20">
            <v>481.21243440471261</v>
          </cell>
          <cell r="L20">
            <v>24.490569395789553</v>
          </cell>
          <cell r="M20">
            <v>14.048230528147609</v>
          </cell>
          <cell r="N20">
            <v>52.139983443377425</v>
          </cell>
          <cell r="O20">
            <v>6.3653568140952528</v>
          </cell>
          <cell r="P20">
            <v>8.8502570789545452</v>
          </cell>
          <cell r="Q20">
            <v>9.4718687404382997</v>
          </cell>
          <cell r="R20">
            <v>3847.4778572598443</v>
          </cell>
          <cell r="S20">
            <v>7092.044376536146</v>
          </cell>
        </row>
        <row r="21">
          <cell r="A21" t="str">
            <v>Iowa</v>
          </cell>
          <cell r="B21" t="str">
            <v>IA</v>
          </cell>
          <cell r="C21" t="str">
            <v>19</v>
          </cell>
          <cell r="D21">
            <v>33336.972029999997</v>
          </cell>
          <cell r="E21">
            <v>7.6993990020174687E-3</v>
          </cell>
          <cell r="F21">
            <v>256.67464917806626</v>
          </cell>
          <cell r="G21">
            <v>0.85407908435148294</v>
          </cell>
          <cell r="H21">
            <v>5.2288044590491696E-2</v>
          </cell>
          <cell r="I21">
            <v>4.7420175150945324E-3</v>
          </cell>
          <cell r="J21">
            <v>8.8890853542930845E-2</v>
          </cell>
          <cell r="K21">
            <v>219.22044934624094</v>
          </cell>
          <cell r="L21">
            <v>13.421015501471542</v>
          </cell>
          <cell r="M21">
            <v>1.2171556820831346</v>
          </cell>
          <cell r="N21">
            <v>22.816028648270642</v>
          </cell>
          <cell r="O21">
            <v>6.4063523963373559</v>
          </cell>
          <cell r="P21">
            <v>7.1897836504827835</v>
          </cell>
          <cell r="Q21">
            <v>8.561781304934188</v>
          </cell>
          <cell r="R21">
            <v>2094.954300226228</v>
          </cell>
          <cell r="S21">
            <v>2834.1589695224934</v>
          </cell>
        </row>
        <row r="22">
          <cell r="A22" t="str">
            <v>Kansas</v>
          </cell>
          <cell r="B22" t="str">
            <v>KS</v>
          </cell>
          <cell r="C22" t="str">
            <v>20</v>
          </cell>
          <cell r="D22">
            <v>32102.609710000001</v>
          </cell>
          <cell r="E22">
            <v>1.8125893258221594E-2</v>
          </cell>
          <cell r="F22">
            <v>581.88847691380806</v>
          </cell>
          <cell r="G22">
            <v>0.78300615507228066</v>
          </cell>
          <cell r="H22">
            <v>5.0086667981563332E-2</v>
          </cell>
          <cell r="I22">
            <v>2.0855277412906617E-2</v>
          </cell>
          <cell r="J22">
            <v>0.14605189953324935</v>
          </cell>
          <cell r="K22">
            <v>455.62225898914642</v>
          </cell>
          <cell r="L22">
            <v>29.144854945479484</v>
          </cell>
          <cell r="M22">
            <v>12.135445609411175</v>
          </cell>
          <cell r="N22">
            <v>84.985917369770974</v>
          </cell>
          <cell r="O22">
            <v>7.2771621118521619</v>
          </cell>
          <cell r="P22">
            <v>7.3841660119221162</v>
          </cell>
          <cell r="Q22">
            <v>9.3477827199496186</v>
          </cell>
          <cell r="R22">
            <v>4004.9753595583456</v>
          </cell>
          <cell r="S22">
            <v>10735.000520555957</v>
          </cell>
        </row>
        <row r="23">
          <cell r="A23" t="str">
            <v>Kentucky</v>
          </cell>
          <cell r="B23" t="str">
            <v>KY</v>
          </cell>
          <cell r="C23" t="str">
            <v>21</v>
          </cell>
          <cell r="D23">
            <v>49312.718000000001</v>
          </cell>
          <cell r="E23">
            <v>4.7809744787374936E-3</v>
          </cell>
          <cell r="F23">
            <v>235.76284623517901</v>
          </cell>
          <cell r="G23">
            <v>0.81343565804042273</v>
          </cell>
          <cell r="H23">
            <v>4.9372395251600337E-2</v>
          </cell>
          <cell r="I23">
            <v>1.0103536138984187E-2</v>
          </cell>
          <cell r="J23">
            <v>0.12708841056899275</v>
          </cell>
          <cell r="K23">
            <v>191.77790596879584</v>
          </cell>
          <cell r="L23">
            <v>11.640176429965532</v>
          </cell>
          <cell r="M23">
            <v>2.3820384371669032</v>
          </cell>
          <cell r="N23">
            <v>29.962725399250736</v>
          </cell>
          <cell r="O23">
            <v>7.6148428245547155</v>
          </cell>
          <cell r="P23">
            <v>7.4566331679771807</v>
          </cell>
          <cell r="Q23">
            <v>9.391967863218234</v>
          </cell>
          <cell r="R23">
            <v>1528.6167683501992</v>
          </cell>
          <cell r="S23">
            <v>3509.7022679155998</v>
          </cell>
        </row>
        <row r="24">
          <cell r="A24" t="str">
            <v>Louisiana</v>
          </cell>
          <cell r="B24" t="str">
            <v>LA</v>
          </cell>
          <cell r="C24" t="str">
            <v>22</v>
          </cell>
          <cell r="D24">
            <v>49155.612970000002</v>
          </cell>
          <cell r="E24">
            <v>1.2611781169742303E-2</v>
          </cell>
          <cell r="F24">
            <v>619.93983404218648</v>
          </cell>
          <cell r="G24">
            <v>0.88941686704388578</v>
          </cell>
          <cell r="H24">
            <v>3.9393243831275827E-2</v>
          </cell>
          <cell r="I24">
            <v>9.4031402318603304E-3</v>
          </cell>
          <cell r="J24">
            <v>6.1786748892978027E-2</v>
          </cell>
          <cell r="K24">
            <v>551.38494494950794</v>
          </cell>
          <cell r="L24">
            <v>24.421441043144522</v>
          </cell>
          <cell r="M24">
            <v>5.8293811948148999</v>
          </cell>
          <cell r="N24">
            <v>38.304066854719046</v>
          </cell>
          <cell r="O24">
            <v>6.5902419185867815</v>
          </cell>
          <cell r="P24">
            <v>9.1066357835136866</v>
          </cell>
          <cell r="Q24">
            <v>9.0182208646126369</v>
          </cell>
          <cell r="R24">
            <v>3705.6972027487395</v>
          </cell>
          <cell r="S24">
            <v>4887.5329347626921</v>
          </cell>
        </row>
        <row r="25">
          <cell r="A25" t="str">
            <v>Maine</v>
          </cell>
          <cell r="B25" t="str">
            <v>ME</v>
          </cell>
          <cell r="C25" t="str">
            <v>23</v>
          </cell>
          <cell r="D25">
            <v>14838.257519999999</v>
          </cell>
          <cell r="E25">
            <v>9.3255040485350979E-3</v>
          </cell>
          <cell r="F25">
            <v>138.37423057596635</v>
          </cell>
          <cell r="G25">
            <v>0.74619231336675962</v>
          </cell>
          <cell r="H25">
            <v>5.9643068629645267E-2</v>
          </cell>
          <cell r="I25">
            <v>1.0833800291305384E-2</v>
          </cell>
          <cell r="J25">
            <v>0.18333081771228979</v>
          </cell>
          <cell r="K25">
            <v>103.25378722382574</v>
          </cell>
          <cell r="L25">
            <v>8.2530637308167201</v>
          </cell>
          <cell r="M25">
            <v>1.4991187795230625</v>
          </cell>
          <cell r="N25">
            <v>25.368260841800844</v>
          </cell>
          <cell r="O25">
            <v>7.4139953271071013</v>
          </cell>
          <cell r="P25">
            <v>7.0339405050134065</v>
          </cell>
          <cell r="Q25">
            <v>9.3258784553448901</v>
          </cell>
          <cell r="R25">
            <v>1113.173581407829</v>
          </cell>
          <cell r="S25">
            <v>2933.3271235093712</v>
          </cell>
        </row>
        <row r="26">
          <cell r="A26" t="str">
            <v>Maryland</v>
          </cell>
          <cell r="B26" t="str">
            <v>MD</v>
          </cell>
          <cell r="C26" t="str">
            <v>24</v>
          </cell>
          <cell r="D26">
            <v>59137.327160000001</v>
          </cell>
          <cell r="E26">
            <v>3.0970336146315786E-3</v>
          </cell>
          <cell r="F26">
            <v>183.15029009398503</v>
          </cell>
          <cell r="G26">
            <v>0.8245100342899504</v>
          </cell>
          <cell r="H26">
            <v>7.3543088288928943E-2</v>
          </cell>
          <cell r="I26">
            <v>5.0666261957767926E-4</v>
          </cell>
          <cell r="J26">
            <v>0.10144021480154299</v>
          </cell>
          <cell r="K26">
            <v>151.00925196560596</v>
          </cell>
          <cell r="L26">
            <v>13.469437954524889</v>
          </cell>
          <cell r="M26">
            <v>9.2795405755430341E-2</v>
          </cell>
          <cell r="N26">
            <v>18.578804768098752</v>
          </cell>
          <cell r="O26">
            <v>8.5235460623191663</v>
          </cell>
          <cell r="P26">
            <v>6.5835391411427961</v>
          </cell>
          <cell r="Q26">
            <v>9.3518575165482574</v>
          </cell>
          <cell r="R26">
            <v>1580.2622354644727</v>
          </cell>
          <cell r="S26">
            <v>2000.7383309154752</v>
          </cell>
        </row>
        <row r="27">
          <cell r="A27" t="str">
            <v>Massachusetts</v>
          </cell>
          <cell r="B27" t="str">
            <v>MA</v>
          </cell>
          <cell r="C27" t="str">
            <v>25</v>
          </cell>
          <cell r="D27">
            <v>61824.851349999997</v>
          </cell>
          <cell r="E27">
            <v>2.3231921939886463E-3</v>
          </cell>
          <cell r="F27">
            <v>143.63101205082842</v>
          </cell>
          <cell r="G27">
            <v>0.78467162488684616</v>
          </cell>
          <cell r="H27">
            <v>8.7458832113933127E-2</v>
          </cell>
          <cell r="I27">
            <v>7.7168404361285293E-4</v>
          </cell>
          <cell r="J27">
            <v>0.12709785895560788</v>
          </cell>
          <cell r="K27">
            <v>112.70317961006572</v>
          </cell>
          <cell r="L27">
            <v>12.561800569307708</v>
          </cell>
          <cell r="M27">
            <v>0.11083776016758969</v>
          </cell>
          <cell r="N27">
            <v>18.255194111287405</v>
          </cell>
          <cell r="O27">
            <v>8.2864478370752241</v>
          </cell>
          <cell r="P27">
            <v>9.9545852952479628</v>
          </cell>
          <cell r="Q27">
            <v>9.4168710964145035</v>
          </cell>
          <cell r="R27">
            <v>1515.9451693044759</v>
          </cell>
          <cell r="S27">
            <v>1949.696941746852</v>
          </cell>
        </row>
        <row r="28">
          <cell r="A28" t="str">
            <v>Michigan</v>
          </cell>
          <cell r="B28" t="str">
            <v>MI</v>
          </cell>
          <cell r="C28" t="str">
            <v>26</v>
          </cell>
          <cell r="D28">
            <v>99432.538090000002</v>
          </cell>
          <cell r="E28">
            <v>1.1538753602823951E-2</v>
          </cell>
          <cell r="F28">
            <v>1147.3275571239174</v>
          </cell>
          <cell r="G28">
            <v>0.84066439006964166</v>
          </cell>
          <cell r="H28">
            <v>7.0129456999302467E-2</v>
          </cell>
          <cell r="I28">
            <v>7.0764528242445238E-3</v>
          </cell>
          <cell r="J28">
            <v>8.2129700106811351E-2</v>
          </cell>
          <cell r="K28">
            <v>964.51742101967</v>
          </cell>
          <cell r="L28">
            <v>80.461458581436503</v>
          </cell>
          <cell r="M28">
            <v>8.1190093319431149</v>
          </cell>
          <cell r="N28">
            <v>94.229668190867798</v>
          </cell>
          <cell r="O28">
            <v>7.3965297408151534</v>
          </cell>
          <cell r="P28">
            <v>7.7944363764512632</v>
          </cell>
          <cell r="Q28">
            <v>9.1735187208309803</v>
          </cell>
          <cell r="R28">
            <v>10878.271486889073</v>
          </cell>
          <cell r="S28">
            <v>11313.56355703077</v>
          </cell>
        </row>
        <row r="29">
          <cell r="A29" t="str">
            <v>Minnesota</v>
          </cell>
          <cell r="B29" t="str">
            <v>MN</v>
          </cell>
          <cell r="C29" t="str">
            <v>27</v>
          </cell>
          <cell r="D29">
            <v>59028.80169</v>
          </cell>
          <cell r="E29">
            <v>1.2971958949094829E-2</v>
          </cell>
          <cell r="F29">
            <v>765.7191923369395</v>
          </cell>
          <cell r="G29">
            <v>0.84212570723376268</v>
          </cell>
          <cell r="H29">
            <v>8.8824350765395535E-2</v>
          </cell>
          <cell r="I29">
            <v>3.5965781890520626E-3</v>
          </cell>
          <cell r="J29">
            <v>6.5453363811789789E-2</v>
          </cell>
          <cell r="K29">
            <v>644.83181638921076</v>
          </cell>
          <cell r="L29">
            <v>68.014510127931686</v>
          </cell>
          <cell r="M29">
            <v>2.753968946097598</v>
          </cell>
          <cell r="N29">
            <v>50.118896873699541</v>
          </cell>
          <cell r="O29">
            <v>7.4883745358710234</v>
          </cell>
          <cell r="P29">
            <v>6.4712851534004026</v>
          </cell>
          <cell r="Q29">
            <v>8.7274076171980894</v>
          </cell>
          <cell r="R29">
            <v>9082.6800665654027</v>
          </cell>
          <cell r="S29">
            <v>6168.2690533976893</v>
          </cell>
        </row>
        <row r="30">
          <cell r="A30" t="str">
            <v>Mississippi</v>
          </cell>
          <cell r="B30" t="str">
            <v>MS</v>
          </cell>
          <cell r="C30" t="str">
            <v>28</v>
          </cell>
          <cell r="D30">
            <v>40754.708859999999</v>
          </cell>
          <cell r="E30">
            <v>8.2486292796958034E-3</v>
          </cell>
          <cell r="F30">
            <v>336.17048478807396</v>
          </cell>
          <cell r="G30">
            <v>0.88810535672805246</v>
          </cell>
          <cell r="H30">
            <v>5.0875177993937419E-2</v>
          </cell>
          <cell r="I30">
            <v>6.1768330847452599E-3</v>
          </cell>
          <cell r="J30">
            <v>5.4842632193264837E-2</v>
          </cell>
          <cell r="K30">
            <v>298.55480831415474</v>
          </cell>
          <cell r="L30">
            <v>17.102733249901494</v>
          </cell>
          <cell r="M30">
            <v>2.0764689725538283</v>
          </cell>
          <cell r="N30">
            <v>18.436474251463871</v>
          </cell>
          <cell r="O30">
            <v>7.7551916319918526</v>
          </cell>
          <cell r="P30">
            <v>8.8744640042322409</v>
          </cell>
          <cell r="Q30">
            <v>9.3125399976490684</v>
          </cell>
          <cell r="R30">
            <v>2205.3269682400878</v>
          </cell>
          <cell r="S30">
            <v>2213.7295872530585</v>
          </cell>
        </row>
        <row r="31">
          <cell r="A31" t="str">
            <v>Missouri</v>
          </cell>
          <cell r="B31" t="str">
            <v>MO</v>
          </cell>
          <cell r="C31" t="str">
            <v>29</v>
          </cell>
          <cell r="D31">
            <v>74018.576459999997</v>
          </cell>
          <cell r="E31">
            <v>5.5624584783161178E-3</v>
          </cell>
          <cell r="F31">
            <v>411.72525818281679</v>
          </cell>
          <cell r="G31">
            <v>0.81102246815785828</v>
          </cell>
          <cell r="H31">
            <v>6.9606318375512302E-2</v>
          </cell>
          <cell r="I31">
            <v>9.225040493441642E-3</v>
          </cell>
          <cell r="J31">
            <v>0.11014617297318779</v>
          </cell>
          <cell r="K31">
            <v>333.91843509435949</v>
          </cell>
          <cell r="L31">
            <v>28.658679404313148</v>
          </cell>
          <cell r="M31">
            <v>3.7981821789091996</v>
          </cell>
          <cell r="N31">
            <v>45.349961505234944</v>
          </cell>
          <cell r="O31">
            <v>7.2624155886258608</v>
          </cell>
          <cell r="P31">
            <v>7.1487547863735763</v>
          </cell>
          <cell r="Q31">
            <v>9.2111649149666288</v>
          </cell>
          <cell r="R31">
            <v>3946.1635119308462</v>
          </cell>
          <cell r="S31">
            <v>5454.6755721756072</v>
          </cell>
        </row>
        <row r="32">
          <cell r="A32" t="str">
            <v>Montana</v>
          </cell>
          <cell r="B32" t="str">
            <v>MT</v>
          </cell>
          <cell r="C32" t="str">
            <v>30</v>
          </cell>
          <cell r="D32">
            <v>12598.72287</v>
          </cell>
          <cell r="E32">
            <v>2.9993529914269543E-2</v>
          </cell>
          <cell r="F32">
            <v>377.88017128293683</v>
          </cell>
          <cell r="G32">
            <v>0.8180449763939559</v>
          </cell>
          <cell r="H32">
            <v>4.9406728707432984E-2</v>
          </cell>
          <cell r="I32">
            <v>3.0410805224675946E-3</v>
          </cell>
          <cell r="J32">
            <v>0.12950721437614357</v>
          </cell>
          <cell r="K32">
            <v>309.12297579689408</v>
          </cell>
          <cell r="L32">
            <v>18.66982310649437</v>
          </cell>
          <cell r="M32">
            <v>1.1491640287152576</v>
          </cell>
          <cell r="N32">
            <v>48.93820835083315</v>
          </cell>
          <cell r="O32">
            <v>6.3499613256518481</v>
          </cell>
          <cell r="P32">
            <v>6.7935865733013463</v>
          </cell>
          <cell r="Q32">
            <v>8.8812814040921761</v>
          </cell>
          <cell r="R32">
            <v>2940.1475298871746</v>
          </cell>
          <cell r="S32">
            <v>5679.4186034544309</v>
          </cell>
        </row>
        <row r="33">
          <cell r="A33" t="str">
            <v>Nebraska</v>
          </cell>
          <cell r="B33" t="str">
            <v>NE</v>
          </cell>
          <cell r="C33" t="str">
            <v>31</v>
          </cell>
          <cell r="D33">
            <v>20699.916000000001</v>
          </cell>
          <cell r="E33">
            <v>2.6815455994254132E-2</v>
          </cell>
          <cell r="F33">
            <v>555.077686582757</v>
          </cell>
          <cell r="G33">
            <v>0.82759665425281537</v>
          </cell>
          <cell r="H33">
            <v>7.4678335642943183E-2</v>
          </cell>
          <cell r="I33">
            <v>1.6834127285611157E-2</v>
          </cell>
          <cell r="J33">
            <v>8.0890882818630327E-2</v>
          </cell>
          <cell r="K33">
            <v>459.38043626628257</v>
          </cell>
          <cell r="L33">
            <v>41.452277786535547</v>
          </cell>
          <cell r="M33">
            <v>9.344248429336707</v>
          </cell>
          <cell r="N33">
            <v>44.900724100602211</v>
          </cell>
          <cell r="O33">
            <v>7.5939520615629119</v>
          </cell>
          <cell r="P33">
            <v>6.8006299550639815</v>
          </cell>
          <cell r="Q33">
            <v>8.639739120057639</v>
          </cell>
          <cell r="R33">
            <v>5458.5909221560523</v>
          </cell>
          <cell r="S33">
            <v>6571.0268780066399</v>
          </cell>
        </row>
        <row r="34">
          <cell r="A34" t="str">
            <v>Nevada</v>
          </cell>
          <cell r="B34" t="str">
            <v>NV</v>
          </cell>
          <cell r="C34" t="str">
            <v>32</v>
          </cell>
          <cell r="D34">
            <v>26787.988359999999</v>
          </cell>
          <cell r="E34">
            <v>1.680592431443359E-2</v>
          </cell>
          <cell r="F34">
            <v>450.19690491408801</v>
          </cell>
          <cell r="G34">
            <v>0.83144814655184762</v>
          </cell>
          <cell r="H34">
            <v>4.5853469719079304E-2</v>
          </cell>
          <cell r="I34">
            <v>1.3244029550747878E-4</v>
          </cell>
          <cell r="J34">
            <v>0.12256594343356557</v>
          </cell>
          <cell r="K34">
            <v>374.31538217419688</v>
          </cell>
          <cell r="L34">
            <v>20.643090147101358</v>
          </cell>
          <cell r="M34">
            <v>5.9624211123374141E-2</v>
          </cell>
          <cell r="N34">
            <v>55.178808381666407</v>
          </cell>
          <cell r="O34">
            <v>6.7961732582904668</v>
          </cell>
          <cell r="P34">
            <v>6.4794494347378437</v>
          </cell>
          <cell r="Q34">
            <v>8.703815762244572</v>
          </cell>
          <cell r="R34">
            <v>3037.4578991080625</v>
          </cell>
          <cell r="S34">
            <v>6348.8133055858361</v>
          </cell>
        </row>
        <row r="35">
          <cell r="A35" t="str">
            <v>New Hampshire</v>
          </cell>
          <cell r="B35" t="str">
            <v>NH</v>
          </cell>
          <cell r="C35" t="str">
            <v>33</v>
          </cell>
          <cell r="D35">
            <v>13512.59654</v>
          </cell>
          <cell r="E35">
            <v>5.669582852129932E-3</v>
          </cell>
          <cell r="F35">
            <v>76.610785630934259</v>
          </cell>
          <cell r="G35">
            <v>0.87511889604407755</v>
          </cell>
          <cell r="H35">
            <v>3.2238255993511614E-2</v>
          </cell>
          <cell r="I35">
            <v>1.4114200407603724E-2</v>
          </cell>
          <cell r="J35">
            <v>7.852864755480711E-2</v>
          </cell>
          <cell r="K35">
            <v>67.043546146412666</v>
          </cell>
          <cell r="L35">
            <v>2.4697981190340998</v>
          </cell>
          <cell r="M35">
            <v>1.0812999817789739</v>
          </cell>
          <cell r="N35">
            <v>6.0161413837085176</v>
          </cell>
          <cell r="O35">
            <v>6.8288031584478706</v>
          </cell>
          <cell r="P35">
            <v>7.1970476589698764</v>
          </cell>
          <cell r="Q35">
            <v>9.2352069274882886</v>
          </cell>
          <cell r="R35">
            <v>361.67364349618538</v>
          </cell>
          <cell r="S35">
            <v>801.67763141376497</v>
          </cell>
        </row>
        <row r="36">
          <cell r="A36" t="str">
            <v>New Jersey</v>
          </cell>
          <cell r="B36" t="str">
            <v>NJ</v>
          </cell>
          <cell r="C36" t="str">
            <v>34</v>
          </cell>
          <cell r="D36">
            <v>77092.632159999994</v>
          </cell>
          <cell r="E36">
            <v>2.6380003286882547E-3</v>
          </cell>
          <cell r="F36">
            <v>203.37038897752271</v>
          </cell>
          <cell r="G36">
            <v>0.82865467584093633</v>
          </cell>
          <cell r="H36">
            <v>4.7798022985958567E-2</v>
          </cell>
          <cell r="I36">
            <v>1.5981005043398302E-2</v>
          </cell>
          <cell r="J36">
            <v>0.10756629612970676</v>
          </cell>
          <cell r="K36">
            <v>168.52382375381421</v>
          </cell>
          <cell r="L36">
            <v>9.7207025270109657</v>
          </cell>
          <cell r="M36">
            <v>3.2500632119276647</v>
          </cell>
          <cell r="N36">
            <v>21.87579948476986</v>
          </cell>
          <cell r="O36">
            <v>7.6887431420554329</v>
          </cell>
          <cell r="P36">
            <v>8.5605598030683616</v>
          </cell>
          <cell r="Q36">
            <v>9.4758588699464248</v>
          </cell>
          <cell r="R36">
            <v>1264.2771838535275</v>
          </cell>
          <cell r="S36">
            <v>2688.2376920538918</v>
          </cell>
        </row>
        <row r="37">
          <cell r="A37" t="str">
            <v>New Mexico</v>
          </cell>
          <cell r="B37" t="str">
            <v>NM</v>
          </cell>
          <cell r="C37" t="str">
            <v>35</v>
          </cell>
          <cell r="D37">
            <v>27885.520840000001</v>
          </cell>
          <cell r="E37">
            <v>2.6435587683275578E-2</v>
          </cell>
          <cell r="F37">
            <v>737.17013125962853</v>
          </cell>
          <cell r="G37">
            <v>0.8006771516071377</v>
          </cell>
          <cell r="H37">
            <v>7.2177862380560551E-2</v>
          </cell>
          <cell r="I37">
            <v>1.3969376109941218E-2</v>
          </cell>
          <cell r="J37">
            <v>0.11317560990236053</v>
          </cell>
          <cell r="K37">
            <v>590.23528094681922</v>
          </cell>
          <cell r="L37">
            <v>53.207364285117222</v>
          </cell>
          <cell r="M37">
            <v>10.297806820580487</v>
          </cell>
          <cell r="N37">
            <v>83.429679207111633</v>
          </cell>
          <cell r="O37">
            <v>7.5659125269264331</v>
          </cell>
          <cell r="P37">
            <v>8.6910545814253961</v>
          </cell>
          <cell r="Q37">
            <v>9.8615957703183117</v>
          </cell>
          <cell r="R37">
            <v>7032.5111605185475</v>
          </cell>
          <cell r="S37">
            <v>9644.9329664140769</v>
          </cell>
        </row>
        <row r="38">
          <cell r="A38" t="str">
            <v>New York</v>
          </cell>
          <cell r="B38" t="str">
            <v>NY</v>
          </cell>
          <cell r="C38" t="str">
            <v>36</v>
          </cell>
          <cell r="D38">
            <v>122929.9694</v>
          </cell>
          <cell r="E38">
            <v>4.1994000037007245E-3</v>
          </cell>
          <cell r="F38">
            <v>516.23211395328997</v>
          </cell>
          <cell r="G38">
            <v>0.84042633453302296</v>
          </cell>
          <cell r="H38">
            <v>4.0920354309732815E-2</v>
          </cell>
          <cell r="I38">
            <v>1.0238828127569734E-2</v>
          </cell>
          <cell r="J38">
            <v>0.10841448302967456</v>
          </cell>
          <cell r="K38">
            <v>433.85506329799728</v>
          </cell>
          <cell r="L38">
            <v>21.12440100903099</v>
          </cell>
          <cell r="M38">
            <v>5.2856118886997301</v>
          </cell>
          <cell r="N38">
            <v>55.967037757561982</v>
          </cell>
          <cell r="O38">
            <v>7.1447933131242243</v>
          </cell>
          <cell r="P38">
            <v>7.942722576387089</v>
          </cell>
          <cell r="Q38">
            <v>9.1582549948245902</v>
          </cell>
          <cell r="R38">
            <v>2956.6147099353752</v>
          </cell>
          <cell r="S38">
            <v>6776.5688100960233</v>
          </cell>
        </row>
        <row r="39">
          <cell r="A39" t="str">
            <v>North Carolina</v>
          </cell>
          <cell r="B39" t="str">
            <v>NC</v>
          </cell>
          <cell r="C39" t="str">
            <v>37</v>
          </cell>
          <cell r="D39">
            <v>116748.68090000001</v>
          </cell>
          <cell r="E39">
            <v>4.7687005905746004E-3</v>
          </cell>
          <cell r="F39">
            <v>556.73950355663555</v>
          </cell>
          <cell r="G39">
            <v>0.80928657718276364</v>
          </cell>
          <cell r="H39">
            <v>7.8488556058694064E-2</v>
          </cell>
          <cell r="I39">
            <v>5.726505880483063E-3</v>
          </cell>
          <cell r="J39">
            <v>0.10649836087805921</v>
          </cell>
          <cell r="K39">
            <v>450.56180721578068</v>
          </cell>
          <cell r="L39">
            <v>43.697679734994495</v>
          </cell>
          <cell r="M39">
            <v>3.1881720410142949</v>
          </cell>
          <cell r="N39">
            <v>59.291844564846102</v>
          </cell>
          <cell r="O39">
            <v>7.7760388965017286</v>
          </cell>
          <cell r="P39">
            <v>7.5788735958608022</v>
          </cell>
          <cell r="Q39">
            <v>9.4201142004472214</v>
          </cell>
          <cell r="R39">
            <v>5619.5294695160455</v>
          </cell>
          <cell r="S39">
            <v>6714.8403933562704</v>
          </cell>
        </row>
        <row r="40">
          <cell r="A40" t="str">
            <v>North Dakota</v>
          </cell>
          <cell r="B40" t="str">
            <v>ND</v>
          </cell>
          <cell r="C40" t="str">
            <v>38</v>
          </cell>
          <cell r="D40">
            <v>9739.2087589999992</v>
          </cell>
          <cell r="E40">
            <v>4.1382407264622882E-2</v>
          </cell>
          <cell r="F40">
            <v>403.03190330012035</v>
          </cell>
          <cell r="G40">
            <v>0.8316903910777389</v>
          </cell>
          <cell r="H40">
            <v>7.0890683642718319E-2</v>
          </cell>
          <cell r="I40">
            <v>6.7838939278770296E-3</v>
          </cell>
          <cell r="J40">
            <v>9.0635031351665687E-2</v>
          </cell>
          <cell r="K40">
            <v>335.19776127248252</v>
          </cell>
          <cell r="L40">
            <v>28.571207154771471</v>
          </cell>
          <cell r="M40">
            <v>2.7341256815384085</v>
          </cell>
          <cell r="N40">
            <v>36.528809191327902</v>
          </cell>
          <cell r="O40">
            <v>8.6771896690301666</v>
          </cell>
          <cell r="P40">
            <v>6.0142505597499474</v>
          </cell>
          <cell r="Q40">
            <v>8.4218928647304079</v>
          </cell>
          <cell r="R40">
            <v>3292.6798012431627</v>
          </cell>
          <cell r="S40">
            <v>4791.9711968612683</v>
          </cell>
        </row>
        <row r="41">
          <cell r="A41" t="str">
            <v>Ohio</v>
          </cell>
          <cell r="B41" t="str">
            <v>OH</v>
          </cell>
          <cell r="C41" t="str">
            <v>39</v>
          </cell>
          <cell r="D41">
            <v>118607.6223</v>
          </cell>
          <cell r="E41">
            <v>5.9964808387915824E-3</v>
          </cell>
          <cell r="F41">
            <v>711.2283344565792</v>
          </cell>
          <cell r="G41">
            <v>0.84387924486329191</v>
          </cell>
          <cell r="H41">
            <v>7.054248085990357E-2</v>
          </cell>
          <cell r="I41">
            <v>5.3282406885554632E-3</v>
          </cell>
          <cell r="J41">
            <v>8.0250033588249087E-2</v>
          </cell>
          <cell r="K41">
            <v>600.19082980659493</v>
          </cell>
          <cell r="L41">
            <v>50.171811170424334</v>
          </cell>
          <cell r="M41">
            <v>3.7895957505050788</v>
          </cell>
          <cell r="N41">
            <v>57.076097729054936</v>
          </cell>
          <cell r="O41">
            <v>6.9565519244117331</v>
          </cell>
          <cell r="P41">
            <v>8.1731914917396207</v>
          </cell>
          <cell r="Q41">
            <v>9.4110664748714914</v>
          </cell>
          <cell r="R41">
            <v>7212.1665611900125</v>
          </cell>
          <cell r="S41">
            <v>6528.4469986337826</v>
          </cell>
        </row>
        <row r="42">
          <cell r="A42" t="str">
            <v>Oklahoma</v>
          </cell>
          <cell r="B42" t="str">
            <v>OK</v>
          </cell>
          <cell r="C42" t="str">
            <v>40</v>
          </cell>
          <cell r="D42">
            <v>49013.27792</v>
          </cell>
          <cell r="E42">
            <v>1.8809067796487049E-2</v>
          </cell>
          <cell r="F42">
            <v>921.89406732534178</v>
          </cell>
          <cell r="G42">
            <v>0.83224495218082917</v>
          </cell>
          <cell r="H42">
            <v>3.8703220562654642E-2</v>
          </cell>
          <cell r="I42">
            <v>8.1226783264366151E-3</v>
          </cell>
          <cell r="J42">
            <v>0.12092914893007957</v>
          </cell>
          <cell r="K42">
            <v>767.24168397696917</v>
          </cell>
          <cell r="L42">
            <v>35.680269423095488</v>
          </cell>
          <cell r="M42">
            <v>7.4882489599340509</v>
          </cell>
          <cell r="N42">
            <v>111.48386496534306</v>
          </cell>
          <cell r="O42">
            <v>7.2313364716758759</v>
          </cell>
          <cell r="P42">
            <v>7.6473617320135459</v>
          </cell>
          <cell r="Q42">
            <v>9.665470486517485</v>
          </cell>
          <cell r="R42">
            <v>4934.1182729983684</v>
          </cell>
          <cell r="S42">
            <v>12513.434665417017</v>
          </cell>
        </row>
        <row r="43">
          <cell r="A43" t="str">
            <v>Oregon</v>
          </cell>
          <cell r="B43" t="str">
            <v>OR</v>
          </cell>
          <cell r="C43" t="str">
            <v>41</v>
          </cell>
          <cell r="D43">
            <v>36719.18866</v>
          </cell>
          <cell r="E43">
            <v>1.0033003235953701E-2</v>
          </cell>
          <cell r="F43">
            <v>368.40373864737444</v>
          </cell>
          <cell r="G43">
            <v>0.82455003836087326</v>
          </cell>
          <cell r="H43">
            <v>4.0417720194100989E-2</v>
          </cell>
          <cell r="I43">
            <v>1.2006972159185898E-2</v>
          </cell>
          <cell r="J43">
            <v>0.12302526928583991</v>
          </cell>
          <cell r="K43">
            <v>303.76731683398174</v>
          </cell>
          <cell r="L43">
            <v>14.890039227110289</v>
          </cell>
          <cell r="M43">
            <v>4.4234134332790225</v>
          </cell>
          <cell r="N43">
            <v>45.322969153003427</v>
          </cell>
          <cell r="O43">
            <v>6.3389319501054642</v>
          </cell>
          <cell r="P43">
            <v>7.6830370367977983</v>
          </cell>
          <cell r="Q43">
            <v>9.4261861427279872</v>
          </cell>
          <cell r="R43">
            <v>2348.9823434470782</v>
          </cell>
          <cell r="S43">
            <v>5383.9355949270339</v>
          </cell>
        </row>
        <row r="44">
          <cell r="A44" t="str">
            <v>Pennsylvania</v>
          </cell>
          <cell r="B44" t="str">
            <v>PA</v>
          </cell>
          <cell r="C44" t="str">
            <v>42</v>
          </cell>
          <cell r="D44">
            <v>101362.4929</v>
          </cell>
          <cell r="E44">
            <v>5.0161912039347386E-3</v>
          </cell>
          <cell r="F44">
            <v>508.4536452938774</v>
          </cell>
          <cell r="G44">
            <v>0.82674186648404757</v>
          </cell>
          <cell r="H44">
            <v>6.0191731464039062E-2</v>
          </cell>
          <cell r="I44">
            <v>1.7156683895056514E-2</v>
          </cell>
          <cell r="J44">
            <v>9.5909718156856921E-2</v>
          </cell>
          <cell r="K44">
            <v>420.35991573087807</v>
          </cell>
          <cell r="L44">
            <v>30.604705279440836</v>
          </cell>
          <cell r="M44">
            <v>8.7233784675962429</v>
          </cell>
          <cell r="N44">
            <v>48.76564581596228</v>
          </cell>
          <cell r="O44">
            <v>6.8832010601827891</v>
          </cell>
          <cell r="P44">
            <v>7.9361076204913905</v>
          </cell>
          <cell r="Q44">
            <v>9.5866822453810521</v>
          </cell>
          <cell r="R44">
            <v>4446.2895986693875</v>
          </cell>
          <cell r="S44">
            <v>6186.0126641473162</v>
          </cell>
        </row>
        <row r="45">
          <cell r="A45" t="str">
            <v>Rhode Island</v>
          </cell>
          <cell r="B45" t="str">
            <v>RI</v>
          </cell>
          <cell r="C45" t="str">
            <v>44</v>
          </cell>
          <cell r="D45">
            <v>7927.0705070000004</v>
          </cell>
          <cell r="E45">
            <v>3.934854507552551E-3</v>
          </cell>
          <cell r="F45">
            <v>31.191869116155836</v>
          </cell>
          <cell r="G45">
            <v>0.83153781660449233</v>
          </cell>
          <cell r="H45">
            <v>5.0811707198926873E-2</v>
          </cell>
          <cell r="I45">
            <v>8.3782013733111997E-3</v>
          </cell>
          <cell r="J45">
            <v>0.10927227482326957</v>
          </cell>
          <cell r="K45">
            <v>25.937218740661319</v>
          </cell>
          <cell r="L45">
            <v>1.5849121205173602</v>
          </cell>
          <cell r="M45">
            <v>0.26133176066512004</v>
          </cell>
          <cell r="N45">
            <v>3.4084064943120347</v>
          </cell>
          <cell r="O45">
            <v>7.7149100124890708</v>
          </cell>
          <cell r="P45">
            <v>8.5931167246463662</v>
          </cell>
          <cell r="Q45">
            <v>9.6517529825986763</v>
          </cell>
          <cell r="R45">
            <v>205.43494583237765</v>
          </cell>
          <cell r="S45">
            <v>383.55035071667589</v>
          </cell>
        </row>
        <row r="46">
          <cell r="A46" t="str">
            <v>South Carolina</v>
          </cell>
          <cell r="B46" t="str">
            <v>SC</v>
          </cell>
          <cell r="C46" t="str">
            <v>45</v>
          </cell>
          <cell r="D46">
            <v>54552.642229999998</v>
          </cell>
          <cell r="E46">
            <v>7.3607191131047287E-3</v>
          </cell>
          <cell r="F46">
            <v>401.54667633272516</v>
          </cell>
          <cell r="G46">
            <v>0.82493560965530888</v>
          </cell>
          <cell r="H46">
            <v>6.3936980627421938E-2</v>
          </cell>
          <cell r="I46">
            <v>1.4257332651403028E-2</v>
          </cell>
          <cell r="J46">
            <v>9.6870077065866173E-2</v>
          </cell>
          <cell r="K46">
            <v>331.25015224559962</v>
          </cell>
          <cell r="L46">
            <v>25.673682065691114</v>
          </cell>
          <cell r="M46">
            <v>5.7249845395409258</v>
          </cell>
          <cell r="N46">
            <v>38.897857481893503</v>
          </cell>
          <cell r="O46">
            <v>8.0897756747988403</v>
          </cell>
          <cell r="P46">
            <v>7.9913284044118944</v>
          </cell>
          <cell r="Q46">
            <v>9.1269997970711465</v>
          </cell>
          <cell r="R46">
            <v>3173.5962896560186</v>
          </cell>
          <cell r="S46">
            <v>4978.2445023161526</v>
          </cell>
        </row>
        <row r="47">
          <cell r="A47" t="str">
            <v>South Dakota</v>
          </cell>
          <cell r="B47" t="str">
            <v>SD</v>
          </cell>
          <cell r="C47" t="str">
            <v>46</v>
          </cell>
          <cell r="D47">
            <v>9506.5343229999999</v>
          </cell>
          <cell r="E47">
            <v>1.626651896538097E-2</v>
          </cell>
          <cell r="F47">
            <v>154.63822086012465</v>
          </cell>
          <cell r="G47">
            <v>0.76909772352671868</v>
          </cell>
          <cell r="H47">
            <v>5.453935668804754E-2</v>
          </cell>
          <cell r="I47">
            <v>2.101119678778746E-2</v>
          </cell>
          <cell r="J47">
            <v>0.15535172299744632</v>
          </cell>
          <cell r="K47">
            <v>118.9319036337438</v>
          </cell>
          <cell r="L47">
            <v>8.4338690850954112</v>
          </cell>
          <cell r="M47">
            <v>3.2491340894054188</v>
          </cell>
          <cell r="N47">
            <v>24.023314051880011</v>
          </cell>
          <cell r="O47">
            <v>7.3832401349753622</v>
          </cell>
          <cell r="P47">
            <v>8.3948999573036609</v>
          </cell>
          <cell r="Q47">
            <v>9.0734115611309747</v>
          </cell>
          <cell r="R47">
            <v>1142.2991709484138</v>
          </cell>
          <cell r="S47">
            <v>3034.6972387001315</v>
          </cell>
        </row>
        <row r="48">
          <cell r="A48" t="str">
            <v>Tennessee</v>
          </cell>
          <cell r="B48" t="str">
            <v>TN</v>
          </cell>
          <cell r="C48" t="str">
            <v>47</v>
          </cell>
          <cell r="D48">
            <v>76883.747380000001</v>
          </cell>
          <cell r="E48">
            <v>1.3688365126190812E-2</v>
          </cell>
          <cell r="F48">
            <v>1052.4128064072563</v>
          </cell>
          <cell r="G48">
            <v>0.79418815094194728</v>
          </cell>
          <cell r="H48">
            <v>7.8660059721973208E-2</v>
          </cell>
          <cell r="I48">
            <v>1.077325802774017E-2</v>
          </cell>
          <cell r="J48">
            <v>0.11637853130833936</v>
          </cell>
          <cell r="K48">
            <v>835.81378074820441</v>
          </cell>
          <cell r="L48">
            <v>82.782854204164209</v>
          </cell>
          <cell r="M48">
            <v>11.337914715123535</v>
          </cell>
          <cell r="N48">
            <v>122.47825673976416</v>
          </cell>
          <cell r="O48">
            <v>8.2589434641334272</v>
          </cell>
          <cell r="P48">
            <v>8.1475620011106411</v>
          </cell>
          <cell r="Q48">
            <v>10.26242170611876</v>
          </cell>
          <cell r="R48">
            <v>10023.419407539222</v>
          </cell>
          <cell r="S48">
            <v>13326.206403295942</v>
          </cell>
        </row>
        <row r="49">
          <cell r="A49" t="str">
            <v>Texas</v>
          </cell>
          <cell r="B49" t="str">
            <v>TX</v>
          </cell>
          <cell r="C49" t="str">
            <v>48</v>
          </cell>
          <cell r="D49">
            <v>271262.8383</v>
          </cell>
          <cell r="E49">
            <v>7.0194648314903874E-3</v>
          </cell>
          <cell r="F49">
            <v>1904.1199535371138</v>
          </cell>
          <cell r="G49">
            <v>0.84117806062698552</v>
          </cell>
          <cell r="H49">
            <v>4.6523771444636479E-2</v>
          </cell>
          <cell r="I49">
            <v>8.6655146410002434E-3</v>
          </cell>
          <cell r="J49">
            <v>0.10363265328737778</v>
          </cell>
          <cell r="K49">
            <v>1601.7039297174952</v>
          </cell>
          <cell r="L49">
            <v>88.58684152153252</v>
          </cell>
          <cell r="M49">
            <v>16.500179335596563</v>
          </cell>
          <cell r="N49">
            <v>197.3290029624896</v>
          </cell>
          <cell r="O49">
            <v>7.0927376133974205</v>
          </cell>
          <cell r="P49">
            <v>7.3707147692521069</v>
          </cell>
          <cell r="Q49">
            <v>9.0641456899623183</v>
          </cell>
          <cell r="R49">
            <v>12489.79538650936</v>
          </cell>
          <cell r="S49">
            <v>24008.894665298023</v>
          </cell>
        </row>
        <row r="50">
          <cell r="A50" t="str">
            <v>Utah</v>
          </cell>
          <cell r="B50" t="str">
            <v>UT</v>
          </cell>
          <cell r="C50" t="str">
            <v>49</v>
          </cell>
          <cell r="D50">
            <v>31448.897059999999</v>
          </cell>
          <cell r="E50">
            <v>1.1776071653101496E-2</v>
          </cell>
          <cell r="F50">
            <v>370.34446518957293</v>
          </cell>
          <cell r="G50">
            <v>0.84868691494902049</v>
          </cell>
          <cell r="H50">
            <v>3.8042979322140492E-2</v>
          </cell>
          <cell r="I50">
            <v>2.688793772091692E-4</v>
          </cell>
          <cell r="J50">
            <v>0.11300122635162985</v>
          </cell>
          <cell r="K50">
            <v>314.30650163018356</v>
          </cell>
          <cell r="L50">
            <v>14.089006831276102</v>
          </cell>
          <cell r="M50">
            <v>9.9577989153035215E-2</v>
          </cell>
          <cell r="N50">
            <v>41.849378738960233</v>
          </cell>
          <cell r="O50">
            <v>6.6463082807098335</v>
          </cell>
          <cell r="P50">
            <v>6.589587115698845</v>
          </cell>
          <cell r="Q50">
            <v>9.7526776285773522</v>
          </cell>
          <cell r="R50">
            <v>2119.824455354842</v>
          </cell>
          <cell r="S50">
            <v>4306.1769395709334</v>
          </cell>
        </row>
        <row r="51">
          <cell r="A51" t="str">
            <v>Vermont</v>
          </cell>
          <cell r="B51" t="str">
            <v>VT</v>
          </cell>
          <cell r="C51" t="str">
            <v>50</v>
          </cell>
          <cell r="D51">
            <v>7381.8900919999996</v>
          </cell>
          <cell r="E51">
            <v>4.3880673356871359E-3</v>
          </cell>
          <cell r="F51">
            <v>32.392230788337706</v>
          </cell>
          <cell r="G51">
            <v>0.82840861652321596</v>
          </cell>
          <cell r="H51">
            <v>7.1880098292254516E-2</v>
          </cell>
          <cell r="I51">
            <v>1.5258779259824647E-3</v>
          </cell>
          <cell r="J51">
            <v>9.8185407258547061E-2</v>
          </cell>
          <cell r="K51">
            <v>26.834003093467558</v>
          </cell>
          <cell r="L51">
            <v>2.3283567329711072</v>
          </cell>
          <cell r="M51">
            <v>4.9426589933254078E-2</v>
          </cell>
          <cell r="N51">
            <v>3.1804443719657844</v>
          </cell>
          <cell r="O51">
            <v>8.1739309441820591</v>
          </cell>
          <cell r="P51">
            <v>8.9613525595554009</v>
          </cell>
          <cell r="Q51">
            <v>9.5430301832400541</v>
          </cell>
          <cell r="R51">
            <v>284.85152968271115</v>
          </cell>
          <cell r="S51">
            <v>338.78958349423311</v>
          </cell>
        </row>
        <row r="52">
          <cell r="A52" t="str">
            <v>Virginia</v>
          </cell>
          <cell r="B52" t="str">
            <v>VA</v>
          </cell>
          <cell r="C52" t="str">
            <v>51</v>
          </cell>
          <cell r="D52">
            <v>84462.671610000005</v>
          </cell>
          <cell r="E52">
            <v>2.4987469930880454E-3</v>
          </cell>
          <cell r="F52">
            <v>211.05084671367052</v>
          </cell>
          <cell r="G52">
            <v>0.79967538895271262</v>
          </cell>
          <cell r="H52">
            <v>7.6229783986499627E-2</v>
          </cell>
          <cell r="I52">
            <v>6.3413110685568265E-3</v>
          </cell>
          <cell r="J52">
            <v>0.11775351599223087</v>
          </cell>
          <cell r="K52">
            <v>168.77216793455381</v>
          </cell>
          <cell r="L52">
            <v>16.088360455150948</v>
          </cell>
          <cell r="M52">
            <v>1.338339070293689</v>
          </cell>
          <cell r="N52">
            <v>24.851979253672067</v>
          </cell>
          <cell r="O52">
            <v>7.988370071648677</v>
          </cell>
          <cell r="P52">
            <v>7.9924594664617024</v>
          </cell>
          <cell r="Q52">
            <v>9.3559057588593557</v>
          </cell>
          <cell r="R52">
            <v>2013.9728518899922</v>
          </cell>
          <cell r="S52">
            <v>2823.7381160219711</v>
          </cell>
        </row>
        <row r="53">
          <cell r="A53" t="str">
            <v>Washington</v>
          </cell>
          <cell r="B53" t="str">
            <v>WA</v>
          </cell>
          <cell r="C53" t="str">
            <v>53</v>
          </cell>
          <cell r="D53">
            <v>61017.810940000003</v>
          </cell>
          <cell r="E53">
            <v>9.1542992166319965E-3</v>
          </cell>
          <cell r="F53">
            <v>558.57529888864133</v>
          </cell>
          <cell r="G53">
            <v>0.87393179307639102</v>
          </cell>
          <cell r="H53">
            <v>4.0306185737817204E-2</v>
          </cell>
          <cell r="I53">
            <v>7.8891648379776601E-3</v>
          </cell>
          <cell r="J53">
            <v>7.7872856347814184E-2</v>
          </cell>
          <cell r="K53">
            <v>488.15671252593137</v>
          </cell>
          <cell r="L53">
            <v>22.514039745562336</v>
          </cell>
          <cell r="M53">
            <v>4.4066926073551311</v>
          </cell>
          <cell r="N53">
            <v>43.49785400979254</v>
          </cell>
          <cell r="O53">
            <v>6.4501077682513852</v>
          </cell>
          <cell r="P53">
            <v>7.5105662298603288</v>
          </cell>
          <cell r="Q53">
            <v>8.466129478586371</v>
          </cell>
          <cell r="R53">
            <v>3490.4904777530342</v>
          </cell>
          <cell r="S53">
            <v>5724.6002043061035</v>
          </cell>
        </row>
        <row r="54">
          <cell r="A54" t="str">
            <v>West Virginia</v>
          </cell>
          <cell r="B54" t="str">
            <v>WV</v>
          </cell>
          <cell r="C54" t="str">
            <v>54</v>
          </cell>
          <cell r="D54">
            <v>19539.44268</v>
          </cell>
          <cell r="E54">
            <v>2.0536007526554115E-2</v>
          </cell>
          <cell r="F54">
            <v>401.26214194115272</v>
          </cell>
          <cell r="G54">
            <v>0.87561211152157026</v>
          </cell>
          <cell r="H54">
            <v>4.0518733631349182E-2</v>
          </cell>
          <cell r="I54">
            <v>1.113161021886043E-2</v>
          </cell>
          <cell r="J54">
            <v>7.273754462822013E-2</v>
          </cell>
          <cell r="K54">
            <v>351.34999137876076</v>
          </cell>
          <cell r="L54">
            <v>16.258633845658196</v>
          </cell>
          <cell r="M54">
            <v>4.4666937596739595</v>
          </cell>
          <cell r="N54">
            <v>29.186822957059796</v>
          </cell>
          <cell r="O54">
            <v>7.5373224135394477</v>
          </cell>
          <cell r="P54">
            <v>7.1633535883907662</v>
          </cell>
          <cell r="Q54">
            <v>9.1451892428013686</v>
          </cell>
          <cell r="R54">
            <v>2157.0835044090031</v>
          </cell>
          <cell r="S54">
            <v>3815.0425497308397</v>
          </cell>
        </row>
        <row r="55">
          <cell r="A55" t="str">
            <v>Wisconsin</v>
          </cell>
          <cell r="B55" t="str">
            <v>WI</v>
          </cell>
          <cell r="C55" t="str">
            <v>55</v>
          </cell>
          <cell r="D55">
            <v>64046.406589999999</v>
          </cell>
          <cell r="E55">
            <v>1.0034018182370763E-2</v>
          </cell>
          <cell r="F55">
            <v>642.64280823957063</v>
          </cell>
          <cell r="G55">
            <v>0.80683647295789951</v>
          </cell>
          <cell r="H55">
            <v>7.2614590420071193E-2</v>
          </cell>
          <cell r="I55">
            <v>2.4391388661442186E-2</v>
          </cell>
          <cell r="J55">
            <v>9.6157547960587147E-2</v>
          </cell>
          <cell r="K55">
            <v>518.50765677177492</v>
          </cell>
          <cell r="L55">
            <v>46.665244306720773</v>
          </cell>
          <cell r="M55">
            <v>15.674950506252028</v>
          </cell>
          <cell r="N55">
            <v>61.794956654822919</v>
          </cell>
          <cell r="O55">
            <v>7.3810739828993475</v>
          </cell>
          <cell r="P55">
            <v>7.7584960381835391</v>
          </cell>
          <cell r="Q55">
            <v>9.20546485796471</v>
          </cell>
          <cell r="R55">
            <v>6322.2837780566824</v>
          </cell>
          <cell r="S55">
            <v>8733.2150497290932</v>
          </cell>
        </row>
        <row r="56">
          <cell r="A56" t="str">
            <v>Wyoming</v>
          </cell>
          <cell r="B56" t="str">
            <v>WY</v>
          </cell>
          <cell r="C56" t="str">
            <v>56</v>
          </cell>
          <cell r="D56">
            <v>9322.5423989999999</v>
          </cell>
          <cell r="E56">
            <v>2.8856420908187911E-2</v>
          </cell>
          <cell r="F56">
            <v>269.01520739997187</v>
          </cell>
          <cell r="G56">
            <v>0.8441186962344609</v>
          </cell>
          <cell r="H56">
            <v>5.3882881423575821E-2</v>
          </cell>
          <cell r="I56">
            <v>2.1797285500239814E-2</v>
          </cell>
          <cell r="J56">
            <v>8.0201136841723475E-2</v>
          </cell>
          <cell r="K56">
            <v>227.08076613770734</v>
          </cell>
          <cell r="L56">
            <v>14.495314521471341</v>
          </cell>
          <cell r="M56">
            <v>5.8638012796034129</v>
          </cell>
          <cell r="N56">
            <v>21.575325461189767</v>
          </cell>
          <cell r="O56">
            <v>5.96599738739339</v>
          </cell>
          <cell r="P56">
            <v>7.7952287315752118</v>
          </cell>
          <cell r="Q56">
            <v>8.7379742924915753</v>
          </cell>
          <cell r="R56">
            <v>2429.6548557163387</v>
          </cell>
          <cell r="S56">
            <v>3221.3745260573482</v>
          </cell>
        </row>
        <row r="57">
          <cell r="A57" t="str">
            <v>U.S. Total</v>
          </cell>
          <cell r="D57">
            <v>3174407.9579459992</v>
          </cell>
          <cell r="R57">
            <v>248781.8752979041</v>
          </cell>
          <cell r="S57">
            <v>409005.13710562227</v>
          </cell>
        </row>
      </sheetData>
      <sheetData sheetId="3"/>
      <sheetData sheetId="4">
        <row r="85">
          <cell r="B85" t="str">
            <v>Alabama</v>
          </cell>
          <cell r="C85" t="str">
            <v>AL</v>
          </cell>
          <cell r="D85" t="str">
            <v>01</v>
          </cell>
          <cell r="E85">
            <v>1466</v>
          </cell>
          <cell r="F85">
            <v>131</v>
          </cell>
          <cell r="G85">
            <v>6968</v>
          </cell>
          <cell r="H85">
            <v>8565</v>
          </cell>
          <cell r="I85">
            <v>43272</v>
          </cell>
          <cell r="K85">
            <v>58018</v>
          </cell>
          <cell r="L85">
            <v>101290</v>
          </cell>
          <cell r="M85">
            <v>2746653</v>
          </cell>
          <cell r="N85">
            <v>3663721</v>
          </cell>
          <cell r="O85">
            <v>0.74968945506494622</v>
          </cell>
          <cell r="P85">
            <v>735.99737531716778</v>
          </cell>
          <cell r="Q85">
            <v>86.572130333800445</v>
          </cell>
          <cell r="R85">
            <v>2576.2245797694877</v>
          </cell>
          <cell r="S85">
            <v>3398.7940854204562</v>
          </cell>
          <cell r="T85">
            <v>150.89115024798943</v>
          </cell>
          <cell r="U85">
            <v>3247.9029351724666</v>
          </cell>
          <cell r="V85">
            <v>427775946.37456828</v>
          </cell>
          <cell r="W85">
            <v>0</v>
          </cell>
          <cell r="X85">
            <v>414389840.80334425</v>
          </cell>
          <cell r="Y85">
            <v>5.0415368252974144E-2</v>
          </cell>
          <cell r="Z85">
            <v>3175.9351063559207</v>
          </cell>
          <cell r="AA85">
            <v>59819.441430808678</v>
          </cell>
          <cell r="AB85">
            <v>62995.3765371646</v>
          </cell>
        </row>
        <row r="86">
          <cell r="B86" t="str">
            <v>Alaska</v>
          </cell>
          <cell r="C86" t="str">
            <v>AK</v>
          </cell>
          <cell r="D86" t="str">
            <v>02</v>
          </cell>
          <cell r="E86">
            <v>183</v>
          </cell>
          <cell r="F86">
            <v>72</v>
          </cell>
          <cell r="G86">
            <v>4506</v>
          </cell>
          <cell r="H86">
            <v>4761</v>
          </cell>
          <cell r="I86">
            <v>4216</v>
          </cell>
          <cell r="J86">
            <v>518</v>
          </cell>
          <cell r="K86">
            <v>13051</v>
          </cell>
          <cell r="L86">
            <v>17785</v>
          </cell>
          <cell r="M86">
            <v>288332</v>
          </cell>
          <cell r="N86">
            <v>364267</v>
          </cell>
          <cell r="O86">
            <v>0.79154027128452487</v>
          </cell>
          <cell r="P86">
            <v>91.874160766058438</v>
          </cell>
          <cell r="Q86">
            <v>47.581628885752913</v>
          </cell>
          <cell r="R86">
            <v>1665.9684208440458</v>
          </cell>
          <cell r="S86">
            <v>1805.4242104958571</v>
          </cell>
          <cell r="T86">
            <v>86.054645865184042</v>
          </cell>
          <cell r="U86">
            <v>1719.369564630673</v>
          </cell>
          <cell r="V86">
            <v>41678299.822406635</v>
          </cell>
          <cell r="W86">
            <v>6034696.1305350065</v>
          </cell>
          <cell r="X86">
            <v>93215929.751533076</v>
          </cell>
          <cell r="Y86">
            <v>4.9444202195782508E-2</v>
          </cell>
          <cell r="Z86">
            <v>675.05251566025686</v>
          </cell>
          <cell r="AA86">
            <v>12977.761882826237</v>
          </cell>
          <cell r="AB86">
            <v>13652.814398486493</v>
          </cell>
        </row>
        <row r="87">
          <cell r="B87" t="str">
            <v>Arizona</v>
          </cell>
          <cell r="C87" t="str">
            <v>AZ</v>
          </cell>
          <cell r="D87" t="str">
            <v>04</v>
          </cell>
          <cell r="E87">
            <v>2207</v>
          </cell>
          <cell r="F87">
            <v>341</v>
          </cell>
          <cell r="G87">
            <v>17553</v>
          </cell>
          <cell r="H87">
            <v>20101</v>
          </cell>
          <cell r="I87">
            <v>18662</v>
          </cell>
          <cell r="J87">
            <v>7200</v>
          </cell>
          <cell r="K87">
            <v>25260</v>
          </cell>
          <cell r="L87">
            <v>51122</v>
          </cell>
          <cell r="M87">
            <v>2869727</v>
          </cell>
          <cell r="N87">
            <v>3705984</v>
          </cell>
          <cell r="O87">
            <v>0.77434953847615096</v>
          </cell>
          <cell r="P87">
            <v>1108.0124197305518</v>
          </cell>
          <cell r="Q87">
            <v>225.35188125057982</v>
          </cell>
          <cell r="R87">
            <v>6489.7345075622588</v>
          </cell>
          <cell r="S87">
            <v>7823.098808543391</v>
          </cell>
          <cell r="T87">
            <v>357.72709797002949</v>
          </cell>
          <cell r="U87">
            <v>7465.3717105733613</v>
          </cell>
          <cell r="V87">
            <v>184487768.33153525</v>
          </cell>
          <cell r="W87">
            <v>83879946.215930596</v>
          </cell>
          <cell r="X87">
            <v>180417928.55135435</v>
          </cell>
          <cell r="Y87">
            <v>4.9586577635737039E-2</v>
          </cell>
          <cell r="Z87">
            <v>1840.1565253274134</v>
          </cell>
          <cell r="AA87">
            <v>35269.815831409964</v>
          </cell>
          <cell r="AB87">
            <v>37109.97235673738</v>
          </cell>
        </row>
        <row r="88">
          <cell r="B88" t="str">
            <v>Arkansas</v>
          </cell>
          <cell r="C88" t="str">
            <v>AR</v>
          </cell>
          <cell r="D88" t="str">
            <v>05</v>
          </cell>
          <cell r="E88">
            <v>593</v>
          </cell>
          <cell r="F88">
            <v>52</v>
          </cell>
          <cell r="G88">
            <v>4130</v>
          </cell>
          <cell r="H88">
            <v>4775</v>
          </cell>
          <cell r="I88">
            <v>12271</v>
          </cell>
          <cell r="J88">
            <v>670</v>
          </cell>
          <cell r="K88">
            <v>22909</v>
          </cell>
          <cell r="L88">
            <v>35850</v>
          </cell>
          <cell r="M88">
            <v>1390780</v>
          </cell>
          <cell r="N88">
            <v>2032189</v>
          </cell>
          <cell r="O88">
            <v>0.68437532138989043</v>
          </cell>
          <cell r="P88">
            <v>297.71244444957739</v>
          </cell>
          <cell r="Q88">
            <v>34.364509750821554</v>
          </cell>
          <cell r="R88">
            <v>1526.9528579862204</v>
          </cell>
          <cell r="S88">
            <v>1859.0298121866194</v>
          </cell>
          <cell r="T88">
            <v>85.279016232798341</v>
          </cell>
          <cell r="U88">
            <v>1773.7507959538211</v>
          </cell>
          <cell r="V88">
            <v>121307973.70036808</v>
          </cell>
          <cell r="W88">
            <v>7805494.9950935412</v>
          </cell>
          <cell r="X88">
            <v>163626061.96290484</v>
          </cell>
          <cell r="Y88">
            <v>4.9835053017448686E-2</v>
          </cell>
          <cell r="Z88">
            <v>1094.1903163245206</v>
          </cell>
          <cell r="AA88">
            <v>20862.048316378714</v>
          </cell>
          <cell r="AB88">
            <v>21956.238632703233</v>
          </cell>
        </row>
        <row r="89">
          <cell r="B89" t="str">
            <v>California</v>
          </cell>
          <cell r="C89" t="str">
            <v>CA</v>
          </cell>
          <cell r="D89" t="str">
            <v>06</v>
          </cell>
          <cell r="E89">
            <v>10604</v>
          </cell>
          <cell r="F89">
            <v>529</v>
          </cell>
          <cell r="G89">
            <v>61702</v>
          </cell>
          <cell r="H89">
            <v>72835</v>
          </cell>
          <cell r="I89">
            <v>231692</v>
          </cell>
          <cell r="J89">
            <v>63099</v>
          </cell>
          <cell r="K89">
            <v>226864</v>
          </cell>
          <cell r="L89">
            <v>521655</v>
          </cell>
          <cell r="M89">
            <v>15487957</v>
          </cell>
          <cell r="N89">
            <v>18535139</v>
          </cell>
          <cell r="O89">
            <v>0.83559972223569512</v>
          </cell>
          <cell r="P89">
            <v>5323.6808784878895</v>
          </cell>
          <cell r="Q89">
            <v>349.59280111893463</v>
          </cell>
          <cell r="R89">
            <v>22812.601753865805</v>
          </cell>
          <cell r="S89">
            <v>28485.875433472629</v>
          </cell>
          <cell r="T89">
            <v>1300.3405140479269</v>
          </cell>
          <cell r="U89">
            <v>27185.534919424703</v>
          </cell>
          <cell r="V89">
            <v>2290447970.2213087</v>
          </cell>
          <cell r="W89">
            <v>735102878.64986181</v>
          </cell>
          <cell r="X89">
            <v>1620361557.5168033</v>
          </cell>
          <cell r="Y89">
            <v>4.9602110153121985E-2</v>
          </cell>
          <cell r="Z89">
            <v>18928.148601290297</v>
          </cell>
          <cell r="AA89">
            <v>362671.5160673901</v>
          </cell>
          <cell r="AB89">
            <v>381599.6646686804</v>
          </cell>
        </row>
        <row r="90">
          <cell r="B90" t="str">
            <v>Colorado</v>
          </cell>
          <cell r="C90" t="str">
            <v>CO</v>
          </cell>
          <cell r="D90" t="str">
            <v>08</v>
          </cell>
          <cell r="E90">
            <v>1217</v>
          </cell>
          <cell r="F90">
            <v>117</v>
          </cell>
          <cell r="G90">
            <v>12003</v>
          </cell>
          <cell r="H90">
            <v>13337</v>
          </cell>
          <cell r="I90">
            <v>15938</v>
          </cell>
          <cell r="J90">
            <v>6719</v>
          </cell>
          <cell r="K90">
            <v>27288</v>
          </cell>
          <cell r="L90">
            <v>49945</v>
          </cell>
          <cell r="M90">
            <v>2301586</v>
          </cell>
          <cell r="N90">
            <v>2926680</v>
          </cell>
          <cell r="O90">
            <v>0.78641532384818291</v>
          </cell>
          <cell r="P90">
            <v>610.98827132400618</v>
          </cell>
          <cell r="Q90">
            <v>77.32014693934849</v>
          </cell>
          <cell r="R90">
            <v>4437.7760664427615</v>
          </cell>
          <cell r="S90">
            <v>5126.0844847061162</v>
          </cell>
          <cell r="T90">
            <v>240.21845146185825</v>
          </cell>
          <cell r="U90">
            <v>4885.8660332442578</v>
          </cell>
          <cell r="V90">
            <v>157558999.66070136</v>
          </cell>
          <cell r="W90">
            <v>78276299.809005231</v>
          </cell>
          <cell r="X90">
            <v>194902788.37329206</v>
          </cell>
          <cell r="Y90">
            <v>4.9876176051542098E-2</v>
          </cell>
          <cell r="Z90">
            <v>1890.4887745908077</v>
          </cell>
          <cell r="AA90">
            <v>36013.154292134568</v>
          </cell>
          <cell r="AB90">
            <v>37903.643066725374</v>
          </cell>
        </row>
        <row r="91">
          <cell r="B91" t="str">
            <v>Connecticut</v>
          </cell>
          <cell r="C91" t="str">
            <v>CT</v>
          </cell>
          <cell r="D91" t="str">
            <v>09</v>
          </cell>
          <cell r="E91">
            <v>733</v>
          </cell>
          <cell r="F91">
            <v>36</v>
          </cell>
          <cell r="G91">
            <v>4638</v>
          </cell>
          <cell r="H91">
            <v>5407</v>
          </cell>
          <cell r="I91">
            <v>477</v>
          </cell>
          <cell r="K91">
            <v>490</v>
          </cell>
          <cell r="L91">
            <v>967</v>
          </cell>
          <cell r="M91">
            <v>1491165</v>
          </cell>
          <cell r="N91">
            <v>1764760</v>
          </cell>
          <cell r="O91">
            <v>0.84496758766064506</v>
          </cell>
          <cell r="P91">
            <v>367.99868765858389</v>
          </cell>
          <cell r="Q91">
            <v>23.790814442876457</v>
          </cell>
          <cell r="R91">
            <v>1714.771756740942</v>
          </cell>
          <cell r="S91">
            <v>2106.5612588424024</v>
          </cell>
          <cell r="T91">
            <v>96.778548466804622</v>
          </cell>
          <cell r="U91">
            <v>2009.7827103755978</v>
          </cell>
          <cell r="V91">
            <v>4715500.240817829</v>
          </cell>
          <cell r="W91">
            <v>0</v>
          </cell>
          <cell r="X91">
            <v>3499793.5467206505</v>
          </cell>
          <cell r="Y91">
            <v>4.9582823549045377E-2</v>
          </cell>
          <cell r="Z91">
            <v>31.828712500469514</v>
          </cell>
          <cell r="AA91">
            <v>610.10150087242982</v>
          </cell>
          <cell r="AB91">
            <v>641.93021337289929</v>
          </cell>
        </row>
        <row r="92">
          <cell r="B92" t="str">
            <v>Delaware</v>
          </cell>
          <cell r="C92" t="str">
            <v>DE</v>
          </cell>
          <cell r="D92" t="str">
            <v>10</v>
          </cell>
          <cell r="E92">
            <v>127</v>
          </cell>
          <cell r="F92">
            <v>31</v>
          </cell>
          <cell r="G92">
            <v>1333</v>
          </cell>
          <cell r="H92">
            <v>1491</v>
          </cell>
          <cell r="I92">
            <v>1436</v>
          </cell>
          <cell r="J92">
            <v>394</v>
          </cell>
          <cell r="K92">
            <v>1681</v>
          </cell>
          <cell r="L92">
            <v>3511</v>
          </cell>
          <cell r="M92">
            <v>483220</v>
          </cell>
          <cell r="N92">
            <v>549274</v>
          </cell>
          <cell r="O92">
            <v>0.87974307904615912</v>
          </cell>
          <cell r="P92">
            <v>63.759663482455863</v>
          </cell>
          <cell r="Q92">
            <v>20.486534659143619</v>
          </cell>
          <cell r="R92">
            <v>492.83974811032243</v>
          </cell>
          <cell r="S92">
            <v>577.08594625192188</v>
          </cell>
          <cell r="T92">
            <v>26.554777309989799</v>
          </cell>
          <cell r="U92">
            <v>550.53116894193204</v>
          </cell>
          <cell r="V92">
            <v>14195929.446151786</v>
          </cell>
          <cell r="W92">
            <v>4590097.0568162017</v>
          </cell>
          <cell r="X92">
            <v>12006434.59599472</v>
          </cell>
          <cell r="Y92">
            <v>4.1834965088235775E-2</v>
          </cell>
          <cell r="Z92">
            <v>115.61115448180585</v>
          </cell>
          <cell r="AA92">
            <v>2647.8943065115477</v>
          </cell>
          <cell r="AB92">
            <v>2763.5054609933536</v>
          </cell>
        </row>
        <row r="93">
          <cell r="B93" t="str">
            <v>District of Columbia</v>
          </cell>
          <cell r="C93" t="str">
            <v>DC</v>
          </cell>
          <cell r="D93" t="str">
            <v>11</v>
          </cell>
          <cell r="E93">
            <v>4060</v>
          </cell>
          <cell r="F93">
            <v>96</v>
          </cell>
          <cell r="G93">
            <v>7504</v>
          </cell>
          <cell r="H93">
            <v>11660</v>
          </cell>
          <cell r="I93">
            <v>12597</v>
          </cell>
          <cell r="J93">
            <v>3597</v>
          </cell>
          <cell r="K93">
            <v>7060</v>
          </cell>
          <cell r="L93">
            <v>23254</v>
          </cell>
          <cell r="M93">
            <v>104774</v>
          </cell>
          <cell r="N93">
            <v>112752</v>
          </cell>
          <cell r="O93">
            <v>0.92924294025826593</v>
          </cell>
          <cell r="P93">
            <v>2038.3010530611875</v>
          </cell>
          <cell r="Q93">
            <v>63.442171847670565</v>
          </cell>
          <cell r="R93">
            <v>2774.3957012902179</v>
          </cell>
          <cell r="S93">
            <v>4876.1389261990753</v>
          </cell>
          <cell r="T93">
            <v>199.8688166563465</v>
          </cell>
          <cell r="U93">
            <v>4676.2701095427292</v>
          </cell>
          <cell r="V93">
            <v>124530726.48549725</v>
          </cell>
          <cell r="W93">
            <v>41905023.130375326</v>
          </cell>
          <cell r="X93">
            <v>50425596.816015899</v>
          </cell>
          <cell r="Y93">
            <v>4.2638940285111206E-2</v>
          </cell>
          <cell r="Z93">
            <v>761.47980062272745</v>
          </cell>
          <cell r="AA93">
            <v>17097.308328983374</v>
          </cell>
          <cell r="AB93">
            <v>17858.788129606102</v>
          </cell>
        </row>
        <row r="94">
          <cell r="B94" t="str">
            <v>Florida</v>
          </cell>
          <cell r="C94" t="str">
            <v>FL</v>
          </cell>
          <cell r="D94" t="str">
            <v>12</v>
          </cell>
          <cell r="E94">
            <v>5697</v>
          </cell>
          <cell r="F94">
            <v>255</v>
          </cell>
          <cell r="G94">
            <v>26715</v>
          </cell>
          <cell r="H94">
            <v>32667</v>
          </cell>
          <cell r="I94">
            <v>104232</v>
          </cell>
          <cell r="J94">
            <v>34197</v>
          </cell>
          <cell r="K94">
            <v>107237</v>
          </cell>
          <cell r="L94">
            <v>245666</v>
          </cell>
          <cell r="M94">
            <v>8921104</v>
          </cell>
          <cell r="N94">
            <v>10476989</v>
          </cell>
          <cell r="O94">
            <v>0.85149502399973886</v>
          </cell>
          <cell r="P94">
            <v>2860.1480540122129</v>
          </cell>
          <cell r="Q94">
            <v>168.51826897037492</v>
          </cell>
          <cell r="R94">
            <v>9877.1296854968241</v>
          </cell>
          <cell r="S94">
            <v>12905.796008479412</v>
          </cell>
          <cell r="T94">
            <v>579.66092589520758</v>
          </cell>
          <cell r="U94">
            <v>12326.135082584206</v>
          </cell>
          <cell r="V94">
            <v>1030410945.7042431</v>
          </cell>
          <cell r="W94">
            <v>398394794.54808038</v>
          </cell>
          <cell r="X94">
            <v>765933388.91771913</v>
          </cell>
          <cell r="Y94">
            <v>4.5340281311676445E-2</v>
          </cell>
          <cell r="Z94">
            <v>8510.0821561172561</v>
          </cell>
          <cell r="AA94">
            <v>179183.55162655763</v>
          </cell>
          <cell r="AB94">
            <v>187693.63378267488</v>
          </cell>
        </row>
        <row r="95">
          <cell r="B95" t="str">
            <v>Georgia</v>
          </cell>
          <cell r="C95" t="str">
            <v>GA</v>
          </cell>
          <cell r="D95" t="str">
            <v>13</v>
          </cell>
          <cell r="E95">
            <v>3096</v>
          </cell>
          <cell r="F95">
            <v>362</v>
          </cell>
          <cell r="G95">
            <v>14500</v>
          </cell>
          <cell r="H95">
            <v>17958</v>
          </cell>
          <cell r="I95">
            <v>49263</v>
          </cell>
          <cell r="J95">
            <v>25024</v>
          </cell>
          <cell r="K95">
            <v>61975</v>
          </cell>
          <cell r="L95">
            <v>136262</v>
          </cell>
          <cell r="M95">
            <v>4843878</v>
          </cell>
          <cell r="N95">
            <v>6171050</v>
          </cell>
          <cell r="O95">
            <v>0.78493578888519777</v>
          </cell>
          <cell r="P95">
            <v>1554.3300641077428</v>
          </cell>
          <cell r="Q95">
            <v>239.22985634225773</v>
          </cell>
          <cell r="R95">
            <v>5360.9725038257129</v>
          </cell>
          <cell r="S95">
            <v>7154.5324242757133</v>
          </cell>
          <cell r="T95">
            <v>314.67852711451798</v>
          </cell>
          <cell r="U95">
            <v>6839.8538971611952</v>
          </cell>
          <cell r="V95">
            <v>487001443.10987151</v>
          </cell>
          <cell r="W95">
            <v>291529413.0704788</v>
          </cell>
          <cell r="X95">
            <v>442652459.30206591</v>
          </cell>
          <cell r="Y95">
            <v>4.9588346441746978E-2</v>
          </cell>
          <cell r="Z95">
            <v>5091.6625415733979</v>
          </cell>
          <cell r="AA95">
            <v>97586.948602573888</v>
          </cell>
          <cell r="AB95">
            <v>102678.61114414729</v>
          </cell>
        </row>
        <row r="96">
          <cell r="B96" t="str">
            <v>Hawaii</v>
          </cell>
          <cell r="C96" t="str">
            <v>HI</v>
          </cell>
          <cell r="D96" t="str">
            <v>15</v>
          </cell>
          <cell r="E96">
            <v>830</v>
          </cell>
          <cell r="F96">
            <v>110</v>
          </cell>
          <cell r="G96">
            <v>5635</v>
          </cell>
          <cell r="H96">
            <v>6575</v>
          </cell>
          <cell r="I96">
            <v>7165</v>
          </cell>
          <cell r="J96">
            <v>1185</v>
          </cell>
          <cell r="K96">
            <v>9383</v>
          </cell>
          <cell r="L96">
            <v>17733</v>
          </cell>
          <cell r="M96">
            <v>470183</v>
          </cell>
          <cell r="N96">
            <v>519947</v>
          </cell>
          <cell r="O96">
            <v>0.9042902449672755</v>
          </cell>
          <cell r="P96">
            <v>416.6970133105383</v>
          </cell>
          <cell r="Q96">
            <v>72.69415524212252</v>
          </cell>
          <cell r="R96">
            <v>2083.3848316591652</v>
          </cell>
          <cell r="S96">
            <v>2572.7760002118262</v>
          </cell>
          <cell r="T96">
            <v>116.67015198227442</v>
          </cell>
          <cell r="U96">
            <v>2456.1058482295516</v>
          </cell>
          <cell r="V96">
            <v>70831361.059664026</v>
          </cell>
          <cell r="W96">
            <v>13805241.148038577</v>
          </cell>
          <cell r="X96">
            <v>67017475.201795638</v>
          </cell>
          <cell r="Y96">
            <v>4.9774311758507842E-2</v>
          </cell>
          <cell r="Z96">
            <v>699.63451917900454</v>
          </cell>
          <cell r="AA96">
            <v>13356.501958879222</v>
          </cell>
          <cell r="AB96">
            <v>14056.136478058226</v>
          </cell>
        </row>
        <row r="97">
          <cell r="B97" t="str">
            <v>Idaho</v>
          </cell>
          <cell r="C97" t="str">
            <v>ID</v>
          </cell>
          <cell r="D97" t="str">
            <v>16</v>
          </cell>
          <cell r="E97">
            <v>292</v>
          </cell>
          <cell r="F97">
            <v>123</v>
          </cell>
          <cell r="G97">
            <v>5703</v>
          </cell>
          <cell r="H97">
            <v>6118</v>
          </cell>
          <cell r="I97">
            <v>2011</v>
          </cell>
          <cell r="J97">
            <v>570</v>
          </cell>
          <cell r="K97">
            <v>3836</v>
          </cell>
          <cell r="L97">
            <v>6417</v>
          </cell>
          <cell r="M97">
            <v>740028</v>
          </cell>
          <cell r="N97">
            <v>1042510</v>
          </cell>
          <cell r="O97">
            <v>0.70985218367209912</v>
          </cell>
          <cell r="P97">
            <v>146.59702155021347</v>
          </cell>
          <cell r="Q97">
            <v>81.285282679827915</v>
          </cell>
          <cell r="R97">
            <v>2108.5259440908994</v>
          </cell>
          <cell r="S97">
            <v>2336.4082483209409</v>
          </cell>
          <cell r="T97">
            <v>109.82420785105138</v>
          </cell>
          <cell r="U97">
            <v>2226.5840404698893</v>
          </cell>
          <cell r="V97">
            <v>19880232.671456296</v>
          </cell>
          <cell r="W97">
            <v>6640495.7420945056</v>
          </cell>
          <cell r="X97">
            <v>27398383.765755948</v>
          </cell>
          <cell r="Y97">
            <v>4.9814867166417025E-2</v>
          </cell>
          <cell r="Z97">
            <v>214.94244782861813</v>
          </cell>
          <cell r="AA97">
            <v>4099.8828253284446</v>
          </cell>
          <cell r="AB97">
            <v>4314.8252731570628</v>
          </cell>
        </row>
        <row r="98">
          <cell r="B98" t="str">
            <v>Illinois</v>
          </cell>
          <cell r="C98" t="str">
            <v>IL</v>
          </cell>
          <cell r="D98" t="str">
            <v>17</v>
          </cell>
          <cell r="E98">
            <v>2884</v>
          </cell>
          <cell r="F98">
            <v>96</v>
          </cell>
          <cell r="G98">
            <v>15417</v>
          </cell>
          <cell r="H98">
            <v>18397</v>
          </cell>
          <cell r="I98">
            <v>37279</v>
          </cell>
          <cell r="J98">
            <v>89</v>
          </cell>
          <cell r="K98">
            <v>44414</v>
          </cell>
          <cell r="L98">
            <v>81782</v>
          </cell>
          <cell r="M98">
            <v>4871566</v>
          </cell>
          <cell r="N98">
            <v>6407099</v>
          </cell>
          <cell r="O98">
            <v>0.76033880544065258</v>
          </cell>
          <cell r="P98">
            <v>1447.8966101055332</v>
          </cell>
          <cell r="Q98">
            <v>63.442171847670565</v>
          </cell>
          <cell r="R98">
            <v>5700.007799412484</v>
          </cell>
          <cell r="S98">
            <v>7211.3465813656876</v>
          </cell>
          <cell r="T98">
            <v>328.43728827379022</v>
          </cell>
          <cell r="U98">
            <v>6882.9092930918978</v>
          </cell>
          <cell r="V98">
            <v>368530678.14978582</v>
          </cell>
          <cell r="W98">
            <v>1036849.3351691421</v>
          </cell>
          <cell r="X98">
            <v>317224144.04908359</v>
          </cell>
          <cell r="Y98">
            <v>4.9617526314130342E-2</v>
          </cell>
          <cell r="Z98">
            <v>2502.3707632960309</v>
          </cell>
          <cell r="AA98">
            <v>47930.831961350734</v>
          </cell>
          <cell r="AB98">
            <v>50433.202724646762</v>
          </cell>
        </row>
        <row r="99">
          <cell r="B99" t="str">
            <v>Indiana</v>
          </cell>
          <cell r="C99" t="str">
            <v>IN</v>
          </cell>
          <cell r="D99" t="str">
            <v>18</v>
          </cell>
          <cell r="E99">
            <v>1258</v>
          </cell>
          <cell r="F99">
            <v>160</v>
          </cell>
          <cell r="G99">
            <v>7406</v>
          </cell>
          <cell r="H99">
            <v>8824</v>
          </cell>
          <cell r="I99">
            <v>1685</v>
          </cell>
          <cell r="J99">
            <v>13339</v>
          </cell>
          <cell r="K99">
            <v>2575</v>
          </cell>
          <cell r="L99">
            <v>17599</v>
          </cell>
          <cell r="M99">
            <v>3131277</v>
          </cell>
          <cell r="N99">
            <v>4399155</v>
          </cell>
          <cell r="O99">
            <v>0.71179055977795735</v>
          </cell>
          <cell r="P99">
            <v>631.57209969235805</v>
          </cell>
          <cell r="Q99">
            <v>105.73695307945093</v>
          </cell>
          <cell r="R99">
            <v>2738.1629216091883</v>
          </cell>
          <cell r="S99">
            <v>3475.4719743809974</v>
          </cell>
          <cell r="T99">
            <v>155.85530907123018</v>
          </cell>
          <cell r="U99">
            <v>3319.6166653097671</v>
          </cell>
          <cell r="V99">
            <v>16657479.886327131</v>
          </cell>
          <cell r="W99">
            <v>155399250.35754141</v>
          </cell>
          <cell r="X99">
            <v>18391772.2098075</v>
          </cell>
          <cell r="Y99">
            <v>4.9810461458801331E-2</v>
          </cell>
          <cell r="Z99">
            <v>878.55001931881827</v>
          </cell>
          <cell r="AA99">
            <v>16759.311457742071</v>
          </cell>
          <cell r="AB99">
            <v>17637.861477060891</v>
          </cell>
        </row>
        <row r="100">
          <cell r="B100" t="str">
            <v>Iowa</v>
          </cell>
          <cell r="C100" t="str">
            <v>IA</v>
          </cell>
          <cell r="D100" t="str">
            <v>19</v>
          </cell>
          <cell r="E100">
            <v>581</v>
          </cell>
          <cell r="F100">
            <v>39</v>
          </cell>
          <cell r="G100">
            <v>3749</v>
          </cell>
          <cell r="H100">
            <v>4369</v>
          </cell>
          <cell r="I100">
            <v>11523</v>
          </cell>
          <cell r="J100">
            <v>5300</v>
          </cell>
          <cell r="K100">
            <v>19177</v>
          </cell>
          <cell r="L100">
            <v>36000</v>
          </cell>
          <cell r="M100">
            <v>1637999</v>
          </cell>
          <cell r="N100">
            <v>2322187</v>
          </cell>
          <cell r="O100">
            <v>0.70536911971344252</v>
          </cell>
          <cell r="P100">
            <v>291.68790931737681</v>
          </cell>
          <cell r="Q100">
            <v>25.773382313116166</v>
          </cell>
          <cell r="R100">
            <v>1386.0886839201792</v>
          </cell>
          <cell r="S100">
            <v>1703.5499755506721</v>
          </cell>
          <cell r="T100">
            <v>78.055071475530255</v>
          </cell>
          <cell r="U100">
            <v>1625.4949040751419</v>
          </cell>
          <cell r="V100">
            <v>113913436.63510239</v>
          </cell>
          <cell r="W100">
            <v>61744960.408948913</v>
          </cell>
          <cell r="X100">
            <v>136970491.52135083</v>
          </cell>
          <cell r="Y100">
            <v>4.9809935311315626E-2</v>
          </cell>
          <cell r="Z100">
            <v>1227.3602956835944</v>
          </cell>
          <cell r="AA100">
            <v>23413.512815524151</v>
          </cell>
          <cell r="AB100">
            <v>24640.873111207744</v>
          </cell>
        </row>
        <row r="101">
          <cell r="B101" t="str">
            <v>Kansas</v>
          </cell>
          <cell r="C101" t="str">
            <v>KS</v>
          </cell>
          <cell r="D101" t="str">
            <v>20</v>
          </cell>
          <cell r="E101">
            <v>733</v>
          </cell>
          <cell r="F101">
            <v>69</v>
          </cell>
          <cell r="G101">
            <v>4359</v>
          </cell>
          <cell r="H101">
            <v>5161</v>
          </cell>
          <cell r="I101">
            <v>3365</v>
          </cell>
          <cell r="J101">
            <v>2211</v>
          </cell>
          <cell r="K101">
            <v>5369</v>
          </cell>
          <cell r="L101">
            <v>10945</v>
          </cell>
          <cell r="M101">
            <v>1248268</v>
          </cell>
          <cell r="N101">
            <v>1715493</v>
          </cell>
          <cell r="O101">
            <v>0.72764389012371367</v>
          </cell>
          <cell r="P101">
            <v>367.99868765858389</v>
          </cell>
          <cell r="Q101">
            <v>45.599061015513215</v>
          </cell>
          <cell r="R101">
            <v>1611.6192513225026</v>
          </cell>
          <cell r="S101">
            <v>2025.2169999965997</v>
          </cell>
          <cell r="T101">
            <v>91.620923195882654</v>
          </cell>
          <cell r="U101">
            <v>1933.5960768007171</v>
          </cell>
          <cell r="V101">
            <v>33265531.048955962</v>
          </cell>
          <cell r="W101">
            <v>25758133.483808689</v>
          </cell>
          <cell r="X101">
            <v>38347737.861924842</v>
          </cell>
          <cell r="Y101">
            <v>4.9849368687110693E-2</v>
          </cell>
          <cell r="Z101">
            <v>398.84918708579306</v>
          </cell>
          <cell r="AA101">
            <v>7602.2388425189138</v>
          </cell>
          <cell r="AB101">
            <v>8001.0880296047071</v>
          </cell>
        </row>
        <row r="102">
          <cell r="B102" t="str">
            <v>Kentucky</v>
          </cell>
          <cell r="C102" t="str">
            <v>KY</v>
          </cell>
          <cell r="D102" t="str">
            <v>21</v>
          </cell>
          <cell r="E102">
            <v>1379</v>
          </cell>
          <cell r="F102">
            <v>118</v>
          </cell>
          <cell r="G102">
            <v>5985</v>
          </cell>
          <cell r="H102">
            <v>7482</v>
          </cell>
          <cell r="I102">
            <v>31365</v>
          </cell>
          <cell r="J102">
            <v>9083</v>
          </cell>
          <cell r="K102">
            <v>43744</v>
          </cell>
          <cell r="L102">
            <v>84192</v>
          </cell>
          <cell r="M102">
            <v>2250387</v>
          </cell>
          <cell r="N102">
            <v>3030304</v>
          </cell>
          <cell r="O102">
            <v>0.7426274723592089</v>
          </cell>
          <cell r="P102">
            <v>692.31949560871374</v>
          </cell>
          <cell r="Q102">
            <v>77.981002896095063</v>
          </cell>
          <cell r="R102">
            <v>2212.7876162342686</v>
          </cell>
          <cell r="S102">
            <v>2983.0881147390774</v>
          </cell>
          <cell r="T102">
            <v>131.40896567997484</v>
          </cell>
          <cell r="U102">
            <v>2851.6791490591027</v>
          </cell>
          <cell r="V102">
            <v>310066383.75943649</v>
          </cell>
          <cell r="W102">
            <v>105816882.14990245</v>
          </cell>
          <cell r="X102">
            <v>312438712.05662882</v>
          </cell>
          <cell r="Y102">
            <v>4.9620626148273991E-2</v>
          </cell>
          <cell r="Z102">
            <v>2844.6240578639063</v>
          </cell>
          <cell r="AA102">
            <v>54482.827824015541</v>
          </cell>
          <cell r="AB102">
            <v>57327.451881879446</v>
          </cell>
        </row>
        <row r="103">
          <cell r="B103" t="str">
            <v>Louisiana</v>
          </cell>
          <cell r="C103" t="str">
            <v>LA</v>
          </cell>
          <cell r="D103" t="str">
            <v>22</v>
          </cell>
          <cell r="E103">
            <v>1393</v>
          </cell>
          <cell r="F103">
            <v>156</v>
          </cell>
          <cell r="G103">
            <v>7222</v>
          </cell>
          <cell r="H103">
            <v>8771</v>
          </cell>
          <cell r="I103">
            <v>28262</v>
          </cell>
          <cell r="J103">
            <v>6847</v>
          </cell>
          <cell r="K103">
            <v>46238</v>
          </cell>
          <cell r="L103">
            <v>81347</v>
          </cell>
          <cell r="M103">
            <v>2286812</v>
          </cell>
          <cell r="N103">
            <v>2982032</v>
          </cell>
          <cell r="O103">
            <v>0.76686366880033485</v>
          </cell>
          <cell r="P103">
            <v>699.34811992961431</v>
          </cell>
          <cell r="Q103">
            <v>103.09352925246466</v>
          </cell>
          <cell r="R103">
            <v>2670.1340291468482</v>
          </cell>
          <cell r="S103">
            <v>3472.5756783289271</v>
          </cell>
          <cell r="T103">
            <v>154.48714505523085</v>
          </cell>
          <cell r="U103">
            <v>3318.0885332736962</v>
          </cell>
          <cell r="V103">
            <v>279390917.83227146</v>
          </cell>
          <cell r="W103">
            <v>79767498.852844</v>
          </cell>
          <cell r="X103">
            <v>330251946.96585596</v>
          </cell>
          <cell r="Y103">
            <v>5.3619706002799507E-2</v>
          </cell>
          <cell r="Z103">
            <v>3085.3617025016915</v>
          </cell>
          <cell r="AA103">
            <v>54456.201511974039</v>
          </cell>
          <cell r="AB103">
            <v>57541.563214475733</v>
          </cell>
        </row>
        <row r="104">
          <cell r="B104" t="str">
            <v>Maine</v>
          </cell>
          <cell r="C104" t="str">
            <v>ME</v>
          </cell>
          <cell r="D104" t="str">
            <v>23</v>
          </cell>
          <cell r="E104">
            <v>247</v>
          </cell>
          <cell r="F104">
            <v>21</v>
          </cell>
          <cell r="G104">
            <v>2034</v>
          </cell>
          <cell r="H104">
            <v>2302</v>
          </cell>
          <cell r="I104">
            <v>3919</v>
          </cell>
          <cell r="J104">
            <v>3000</v>
          </cell>
          <cell r="K104">
            <v>6129</v>
          </cell>
          <cell r="L104">
            <v>13048</v>
          </cell>
          <cell r="M104">
            <v>786987</v>
          </cell>
          <cell r="N104">
            <v>979213</v>
          </cell>
          <cell r="O104">
            <v>0.80369337416884779</v>
          </cell>
          <cell r="P104">
            <v>124.00501480446141</v>
          </cell>
          <cell r="Q104">
            <v>13.877975091677936</v>
          </cell>
          <cell r="R104">
            <v>752.01503950217261</v>
          </cell>
          <cell r="S104">
            <v>889.89802939831202</v>
          </cell>
          <cell r="T104">
            <v>41.320902419242472</v>
          </cell>
          <cell r="U104">
            <v>848.57712697906959</v>
          </cell>
          <cell r="V104">
            <v>38742233.634727612</v>
          </cell>
          <cell r="W104">
            <v>34949977.58997108</v>
          </cell>
          <cell r="X104">
            <v>43775989.077246666</v>
          </cell>
          <cell r="Y104">
            <v>4.9674453502645197E-2</v>
          </cell>
          <cell r="Z104">
            <v>532.66150846362416</v>
          </cell>
          <cell r="AA104">
            <v>10190.385669805979</v>
          </cell>
          <cell r="AB104">
            <v>10723.047178269602</v>
          </cell>
        </row>
        <row r="105">
          <cell r="B105" t="str">
            <v>Maryland</v>
          </cell>
          <cell r="C105" t="str">
            <v>MD</v>
          </cell>
          <cell r="D105" t="str">
            <v>24</v>
          </cell>
          <cell r="E105">
            <v>3018</v>
          </cell>
          <cell r="F105">
            <v>308</v>
          </cell>
          <cell r="G105">
            <v>13075</v>
          </cell>
          <cell r="H105">
            <v>16401</v>
          </cell>
          <cell r="I105">
            <v>26976</v>
          </cell>
          <cell r="J105">
            <v>7446</v>
          </cell>
          <cell r="K105">
            <v>27934</v>
          </cell>
          <cell r="L105">
            <v>62356</v>
          </cell>
          <cell r="M105">
            <v>2750660</v>
          </cell>
          <cell r="N105">
            <v>3273105</v>
          </cell>
          <cell r="O105">
            <v>0.84038245030330527</v>
          </cell>
          <cell r="P105">
            <v>1515.1705857484392</v>
          </cell>
          <cell r="Q105">
            <v>203.54363467794303</v>
          </cell>
          <cell r="R105">
            <v>4834.1183094842208</v>
          </cell>
          <cell r="S105">
            <v>6552.8325299106036</v>
          </cell>
          <cell r="T105">
            <v>287.16103304666422</v>
          </cell>
          <cell r="U105">
            <v>6265.671496863939</v>
          </cell>
          <cell r="V105">
            <v>266677850.09706864</v>
          </cell>
          <cell r="W105">
            <v>86745844.378308222</v>
          </cell>
          <cell r="X105">
            <v>199516801.90631559</v>
          </cell>
          <cell r="Y105">
            <v>4.9573475871360295E-2</v>
          </cell>
          <cell r="Z105">
            <v>2292.245841095214</v>
          </cell>
          <cell r="AA105">
            <v>43947.115043008045</v>
          </cell>
          <cell r="AB105">
            <v>46239.360884103262</v>
          </cell>
        </row>
        <row r="106">
          <cell r="B106" t="str">
            <v>Massachusetts</v>
          </cell>
          <cell r="C106" t="str">
            <v>MA</v>
          </cell>
          <cell r="D106" t="str">
            <v>25</v>
          </cell>
          <cell r="E106">
            <v>1460</v>
          </cell>
          <cell r="F106">
            <v>74</v>
          </cell>
          <cell r="G106">
            <v>8601</v>
          </cell>
          <cell r="H106">
            <v>10135</v>
          </cell>
          <cell r="I106">
            <v>22134</v>
          </cell>
          <cell r="J106">
            <v>950</v>
          </cell>
          <cell r="K106">
            <v>24745</v>
          </cell>
          <cell r="L106">
            <v>47829</v>
          </cell>
          <cell r="M106">
            <v>2838589</v>
          </cell>
          <cell r="N106">
            <v>3278200</v>
          </cell>
          <cell r="O106">
            <v>0.86589866390092118</v>
          </cell>
          <cell r="P106">
            <v>732.9851077510674</v>
          </cell>
          <cell r="Q106">
            <v>48.90334079924606</v>
          </cell>
          <cell r="R106">
            <v>3179.9810003727557</v>
          </cell>
          <cell r="S106">
            <v>3961.8694489230693</v>
          </cell>
          <cell r="T106">
            <v>180.98860325116982</v>
          </cell>
          <cell r="U106">
            <v>3780.8808456718994</v>
          </cell>
          <cell r="V106">
            <v>218811074.06763485</v>
          </cell>
          <cell r="W106">
            <v>11067492.903490843</v>
          </cell>
          <cell r="X106">
            <v>176739574.10939285</v>
          </cell>
          <cell r="Y106">
            <v>4.9618433385571682E-2</v>
          </cell>
          <cell r="Z106">
            <v>1675.4163387343629</v>
          </cell>
          <cell r="AA106">
            <v>32090.590050769049</v>
          </cell>
          <cell r="AB106">
            <v>33766.006389503411</v>
          </cell>
        </row>
        <row r="107">
          <cell r="B107" t="str">
            <v>Michigan</v>
          </cell>
          <cell r="C107" t="str">
            <v>MI</v>
          </cell>
          <cell r="D107" t="str">
            <v>26</v>
          </cell>
          <cell r="E107">
            <v>1930</v>
          </cell>
          <cell r="F107">
            <v>78</v>
          </cell>
          <cell r="G107">
            <v>12258</v>
          </cell>
          <cell r="H107">
            <v>14266</v>
          </cell>
          <cell r="I107">
            <v>23312</v>
          </cell>
          <cell r="J107">
            <v>5210</v>
          </cell>
          <cell r="K107">
            <v>34519</v>
          </cell>
          <cell r="L107">
            <v>63041</v>
          </cell>
          <cell r="M107">
            <v>4689193</v>
          </cell>
          <cell r="N107">
            <v>5672486</v>
          </cell>
          <cell r="O107">
            <v>0.8266557202609226</v>
          </cell>
          <cell r="P107">
            <v>968.94606709558911</v>
          </cell>
          <cell r="Q107">
            <v>51.546764626232331</v>
          </cell>
          <cell r="R107">
            <v>4532.0552380617655</v>
          </cell>
          <cell r="S107">
            <v>5552.5480697835865</v>
          </cell>
          <cell r="T107">
            <v>255.67114391595595</v>
          </cell>
          <cell r="U107">
            <v>5296.8769258676302</v>
          </cell>
          <cell r="V107">
            <v>230456481.37095433</v>
          </cell>
          <cell r="W107">
            <v>60696461.081249781</v>
          </cell>
          <cell r="X107">
            <v>246549741.71275535</v>
          </cell>
          <cell r="Y107">
            <v>4.9535161112313437E-2</v>
          </cell>
          <cell r="Z107">
            <v>2340.865526525472</v>
          </cell>
          <cell r="AA107">
            <v>44915.779530465777</v>
          </cell>
          <cell r="AB107">
            <v>47256.645056991249</v>
          </cell>
        </row>
        <row r="108">
          <cell r="B108" t="str">
            <v>Minnesota</v>
          </cell>
          <cell r="C108" t="str">
            <v>MN</v>
          </cell>
          <cell r="D108" t="str">
            <v>27</v>
          </cell>
          <cell r="E108">
            <v>1018</v>
          </cell>
          <cell r="F108">
            <v>32</v>
          </cell>
          <cell r="G108">
            <v>6983</v>
          </cell>
          <cell r="H108">
            <v>8033</v>
          </cell>
          <cell r="I108">
            <v>16173</v>
          </cell>
          <cell r="J108">
            <v>5559</v>
          </cell>
          <cell r="K108">
            <v>23483</v>
          </cell>
          <cell r="L108">
            <v>45215</v>
          </cell>
          <cell r="M108">
            <v>2562056</v>
          </cell>
          <cell r="N108">
            <v>3444385</v>
          </cell>
          <cell r="O108">
            <v>0.74383554683927611</v>
          </cell>
          <cell r="P108">
            <v>511.08139704834701</v>
          </cell>
          <cell r="Q108">
            <v>21.147390615890188</v>
          </cell>
          <cell r="R108">
            <v>2581.7704133941352</v>
          </cell>
          <cell r="S108">
            <v>3113.9992010583724</v>
          </cell>
          <cell r="T108">
            <v>144.42096258115717</v>
          </cell>
          <cell r="U108">
            <v>2969.5782384772151</v>
          </cell>
          <cell r="V108">
            <v>159882149.67452148</v>
          </cell>
          <cell r="W108">
            <v>64762308.474216416</v>
          </cell>
          <cell r="X108">
            <v>167725820.11763474</v>
          </cell>
          <cell r="Y108">
            <v>4.9775321838976504E-2</v>
          </cell>
          <cell r="Z108">
            <v>1563.394732694705</v>
          </cell>
          <cell r="AA108">
            <v>29845.638397262694</v>
          </cell>
          <cell r="AB108">
            <v>31409.033129957399</v>
          </cell>
        </row>
        <row r="109">
          <cell r="B109" t="str">
            <v>Mississippi</v>
          </cell>
          <cell r="C109" t="str">
            <v>MS</v>
          </cell>
          <cell r="D109" t="str">
            <v>28</v>
          </cell>
          <cell r="E109">
            <v>944</v>
          </cell>
          <cell r="F109">
            <v>79</v>
          </cell>
          <cell r="G109">
            <v>5058</v>
          </cell>
          <cell r="H109">
            <v>6081</v>
          </cell>
          <cell r="I109">
            <v>1831</v>
          </cell>
          <cell r="J109">
            <v>5940</v>
          </cell>
          <cell r="K109">
            <v>2583</v>
          </cell>
          <cell r="L109">
            <v>10354</v>
          </cell>
          <cell r="M109">
            <v>1736224</v>
          </cell>
          <cell r="N109">
            <v>2424218</v>
          </cell>
          <cell r="O109">
            <v>0.71619961571112833</v>
          </cell>
          <cell r="P109">
            <v>473.93009706644358</v>
          </cell>
          <cell r="Q109">
            <v>52.207620582978905</v>
          </cell>
          <cell r="R109">
            <v>1870.0550982310663</v>
          </cell>
          <cell r="S109">
            <v>2396.1928158804885</v>
          </cell>
          <cell r="T109">
            <v>107.72065782354663</v>
          </cell>
          <cell r="U109">
            <v>2288.4721580569417</v>
          </cell>
          <cell r="V109">
            <v>18100798.618317492</v>
          </cell>
          <cell r="W109">
            <v>69200955.628142744</v>
          </cell>
          <cell r="X109">
            <v>18448911.69628457</v>
          </cell>
          <cell r="Y109">
            <v>4.9884752394411251E-2</v>
          </cell>
          <cell r="Z109">
            <v>468.71099169189603</v>
          </cell>
          <cell r="AA109">
            <v>8927.1658884027765</v>
          </cell>
          <cell r="AB109">
            <v>9395.8768800946727</v>
          </cell>
        </row>
        <row r="110">
          <cell r="B110" t="str">
            <v>Missouri</v>
          </cell>
          <cell r="C110" t="str">
            <v>MO</v>
          </cell>
          <cell r="D110" t="str">
            <v>29</v>
          </cell>
          <cell r="E110">
            <v>1898</v>
          </cell>
          <cell r="F110">
            <v>123</v>
          </cell>
          <cell r="G110">
            <v>9158</v>
          </cell>
          <cell r="H110">
            <v>11179</v>
          </cell>
          <cell r="I110">
            <v>17086</v>
          </cell>
          <cell r="K110">
            <v>24695</v>
          </cell>
          <cell r="L110">
            <v>41781</v>
          </cell>
          <cell r="M110">
            <v>3198696</v>
          </cell>
          <cell r="N110">
            <v>4241867</v>
          </cell>
          <cell r="O110">
            <v>0.75407739092244053</v>
          </cell>
          <cell r="P110">
            <v>952.88064007638752</v>
          </cell>
          <cell r="Q110">
            <v>81.285282679827915</v>
          </cell>
          <cell r="R110">
            <v>3385.9162889679924</v>
          </cell>
          <cell r="S110">
            <v>4420.0822117242078</v>
          </cell>
          <cell r="T110">
            <v>197.88223365069126</v>
          </cell>
          <cell r="U110">
            <v>4222.1999780735168</v>
          </cell>
          <cell r="V110">
            <v>168907834.62183106</v>
          </cell>
          <cell r="W110">
            <v>0</v>
          </cell>
          <cell r="X110">
            <v>176382452.31891114</v>
          </cell>
          <cell r="Y110">
            <v>4.9850940222910561E-2</v>
          </cell>
          <cell r="Z110">
            <v>1322.0379300086047</v>
          </cell>
          <cell r="AA110">
            <v>25197.781437430742</v>
          </cell>
          <cell r="AB110">
            <v>26519.819367439348</v>
          </cell>
        </row>
        <row r="111">
          <cell r="B111" t="str">
            <v>Montana</v>
          </cell>
          <cell r="C111" t="str">
            <v>MT</v>
          </cell>
          <cell r="D111" t="str">
            <v>30</v>
          </cell>
          <cell r="E111">
            <v>362</v>
          </cell>
          <cell r="F111">
            <v>98</v>
          </cell>
          <cell r="G111">
            <v>5670</v>
          </cell>
          <cell r="H111">
            <v>6130</v>
          </cell>
          <cell r="I111">
            <v>416</v>
          </cell>
          <cell r="J111">
            <v>45</v>
          </cell>
          <cell r="K111">
            <v>992</v>
          </cell>
          <cell r="L111">
            <v>1453</v>
          </cell>
          <cell r="M111">
            <v>544968</v>
          </cell>
          <cell r="N111">
            <v>810709</v>
          </cell>
          <cell r="O111">
            <v>0.67221160737083219</v>
          </cell>
          <cell r="P111">
            <v>181.74014315471669</v>
          </cell>
          <cell r="Q111">
            <v>64.763883761163697</v>
          </cell>
          <cell r="R111">
            <v>2096.3251101166752</v>
          </cell>
          <cell r="S111">
            <v>2342.8291370325555</v>
          </cell>
          <cell r="T111">
            <v>110.26845980047527</v>
          </cell>
          <cell r="U111">
            <v>2232.5606772320803</v>
          </cell>
          <cell r="V111">
            <v>4112469.8116985676</v>
          </cell>
          <cell r="W111">
            <v>524249.66384956625</v>
          </cell>
          <cell r="X111">
            <v>7085296.3231569082</v>
          </cell>
          <cell r="Y111">
            <v>4.967424835148905E-2</v>
          </cell>
          <cell r="Z111">
            <v>45.506945666671839</v>
          </cell>
          <cell r="AA111">
            <v>870.6004374721756</v>
          </cell>
          <cell r="AB111">
            <v>916.10738313884747</v>
          </cell>
        </row>
        <row r="112">
          <cell r="B112" t="str">
            <v>Nebraska</v>
          </cell>
          <cell r="C112" t="str">
            <v>NE</v>
          </cell>
          <cell r="D112" t="str">
            <v>31</v>
          </cell>
          <cell r="E112">
            <v>533</v>
          </cell>
          <cell r="F112">
            <v>38</v>
          </cell>
          <cell r="G112">
            <v>3109</v>
          </cell>
          <cell r="H112">
            <v>3680</v>
          </cell>
          <cell r="I112">
            <v>14469</v>
          </cell>
          <cell r="K112">
            <v>24390</v>
          </cell>
          <cell r="L112">
            <v>38859</v>
          </cell>
          <cell r="M112">
            <v>915524</v>
          </cell>
          <cell r="N112">
            <v>1376482</v>
          </cell>
          <cell r="O112">
            <v>0.66511875927182484</v>
          </cell>
          <cell r="P112">
            <v>267.58976878857459</v>
          </cell>
          <cell r="Q112">
            <v>25.112526356369596</v>
          </cell>
          <cell r="R112">
            <v>1149.4664492685615</v>
          </cell>
          <cell r="S112">
            <v>1442.1687444135057</v>
          </cell>
          <cell r="T112">
            <v>65.501015527085315</v>
          </cell>
          <cell r="U112">
            <v>1376.6677288864203</v>
          </cell>
          <cell r="V112">
            <v>143036840.6381408</v>
          </cell>
          <cell r="W112">
            <v>0</v>
          </cell>
          <cell r="X112">
            <v>174204009.39697278</v>
          </cell>
          <cell r="Y112">
            <v>4.9642720024149614E-2</v>
          </cell>
          <cell r="Z112">
            <v>1111.2298935840295</v>
          </cell>
          <cell r="AA112">
            <v>21273.318999857973</v>
          </cell>
          <cell r="AB112">
            <v>22384.548893442003</v>
          </cell>
        </row>
        <row r="113">
          <cell r="B113" t="str">
            <v>Nevada</v>
          </cell>
          <cell r="C113" t="str">
            <v>NV</v>
          </cell>
          <cell r="D113" t="str">
            <v>32</v>
          </cell>
          <cell r="E113">
            <v>771</v>
          </cell>
          <cell r="F113">
            <v>61</v>
          </cell>
          <cell r="G113">
            <v>6493</v>
          </cell>
          <cell r="H113">
            <v>7325</v>
          </cell>
          <cell r="I113">
            <v>7259</v>
          </cell>
          <cell r="J113">
            <v>2585</v>
          </cell>
          <cell r="K113">
            <v>8788</v>
          </cell>
          <cell r="L113">
            <v>18632</v>
          </cell>
          <cell r="M113">
            <v>1187415</v>
          </cell>
          <cell r="N113">
            <v>1515310</v>
          </cell>
          <cell r="O113">
            <v>0.78361193419168351</v>
          </cell>
          <cell r="P113">
            <v>387.07638224388552</v>
          </cell>
          <cell r="Q113">
            <v>40.312213361540671</v>
          </cell>
          <cell r="R113">
            <v>2400.6065149889901</v>
          </cell>
          <cell r="S113">
            <v>2827.9951105944165</v>
          </cell>
          <cell r="T113">
            <v>131.64261721676607</v>
          </cell>
          <cell r="U113">
            <v>2696.3524933776503</v>
          </cell>
          <cell r="V113">
            <v>71760621.065192074</v>
          </cell>
          <cell r="W113">
            <v>30115230.690025084</v>
          </cell>
          <cell r="X113">
            <v>62767725.895063415</v>
          </cell>
          <cell r="Y113">
            <v>4.9568112746994762E-2</v>
          </cell>
          <cell r="Z113">
            <v>665.89939142316746</v>
          </cell>
          <cell r="AA113">
            <v>12768.128142004358</v>
          </cell>
          <cell r="AB113">
            <v>13434.027533427525</v>
          </cell>
        </row>
        <row r="114">
          <cell r="B114" t="str">
            <v>New Hampshire</v>
          </cell>
          <cell r="C114" t="str">
            <v>NH</v>
          </cell>
          <cell r="D114" t="str">
            <v>33</v>
          </cell>
          <cell r="E114">
            <v>266</v>
          </cell>
          <cell r="F114">
            <v>16</v>
          </cell>
          <cell r="G114">
            <v>1835</v>
          </cell>
          <cell r="H114">
            <v>2117</v>
          </cell>
          <cell r="I114">
            <v>3860</v>
          </cell>
          <cell r="J114">
            <v>2216</v>
          </cell>
          <cell r="K114">
            <v>5180</v>
          </cell>
          <cell r="L114">
            <v>11256</v>
          </cell>
          <cell r="M114">
            <v>713141</v>
          </cell>
          <cell r="N114">
            <v>811496</v>
          </cell>
          <cell r="O114">
            <v>0.87879792383449828</v>
          </cell>
          <cell r="P114">
            <v>133.54386209711228</v>
          </cell>
          <cell r="Q114">
            <v>10.573695307945094</v>
          </cell>
          <cell r="R114">
            <v>678.44031341518507</v>
          </cell>
          <cell r="S114">
            <v>822.55787082024244</v>
          </cell>
          <cell r="T114">
            <v>37.928331533672626</v>
          </cell>
          <cell r="U114">
            <v>784.62953928656987</v>
          </cell>
          <cell r="V114">
            <v>38158974.695087671</v>
          </cell>
          <cell r="W114">
            <v>25816383.446458638</v>
          </cell>
          <cell r="X114">
            <v>36997817.493904017</v>
          </cell>
          <cell r="Y114">
            <v>4.9598460650999231E-2</v>
          </cell>
          <cell r="Z114">
            <v>480.12652381376313</v>
          </cell>
          <cell r="AA114">
            <v>9200.1441441044408</v>
          </cell>
          <cell r="AB114">
            <v>9680.2706679182047</v>
          </cell>
        </row>
        <row r="115">
          <cell r="B115" t="str">
            <v>New Jersey</v>
          </cell>
          <cell r="C115" t="str">
            <v>NJ</v>
          </cell>
          <cell r="D115" t="str">
            <v>34</v>
          </cell>
          <cell r="E115">
            <v>2164</v>
          </cell>
          <cell r="F115">
            <v>80</v>
          </cell>
          <cell r="G115">
            <v>11784</v>
          </cell>
          <cell r="H115">
            <v>14028</v>
          </cell>
          <cell r="I115">
            <v>22655</v>
          </cell>
          <cell r="J115">
            <v>2200</v>
          </cell>
          <cell r="K115">
            <v>23129</v>
          </cell>
          <cell r="L115">
            <v>47984</v>
          </cell>
          <cell r="M115">
            <v>4233300</v>
          </cell>
          <cell r="N115">
            <v>5128675</v>
          </cell>
          <cell r="O115">
            <v>0.82541787108756159</v>
          </cell>
          <cell r="P115">
            <v>1086.4245021734998</v>
          </cell>
          <cell r="Q115">
            <v>52.868476539725464</v>
          </cell>
          <cell r="R115">
            <v>4356.806895522911</v>
          </cell>
          <cell r="S115">
            <v>5496.0998742361362</v>
          </cell>
          <cell r="T115">
            <v>250.43307984135055</v>
          </cell>
          <cell r="U115">
            <v>5245.6667943947859</v>
          </cell>
          <cell r="V115">
            <v>223961547.07699773</v>
          </cell>
          <cell r="W115">
            <v>25629983.565978795</v>
          </cell>
          <cell r="X115">
            <v>165197397.84102434</v>
          </cell>
          <cell r="Y115">
            <v>4.9587864320717712E-2</v>
          </cell>
          <cell r="Z115">
            <v>1613.1493000268874</v>
          </cell>
          <cell r="AA115">
            <v>30917.98149426539</v>
          </cell>
          <cell r="AB115">
            <v>32531.130794292279</v>
          </cell>
        </row>
        <row r="116">
          <cell r="B116" t="str">
            <v>New Mexico</v>
          </cell>
          <cell r="C116" t="str">
            <v>NM</v>
          </cell>
          <cell r="D116" t="str">
            <v>35</v>
          </cell>
          <cell r="E116">
            <v>1339</v>
          </cell>
          <cell r="F116">
            <v>207</v>
          </cell>
          <cell r="G116">
            <v>11572</v>
          </cell>
          <cell r="H116">
            <v>13118</v>
          </cell>
          <cell r="I116">
            <v>6680</v>
          </cell>
          <cell r="K116">
            <v>10963</v>
          </cell>
          <cell r="L116">
            <v>17643</v>
          </cell>
          <cell r="M116">
            <v>891552</v>
          </cell>
          <cell r="N116">
            <v>1402991</v>
          </cell>
          <cell r="O116">
            <v>0.63546523106705599</v>
          </cell>
          <cell r="P116">
            <v>672.23771183471183</v>
          </cell>
          <cell r="Q116">
            <v>136.79718304653963</v>
          </cell>
          <cell r="R116">
            <v>4278.4257802945631</v>
          </cell>
          <cell r="S116">
            <v>5087.4606751758147</v>
          </cell>
          <cell r="T116">
            <v>234.08842036976952</v>
          </cell>
          <cell r="U116">
            <v>4853.372254806045</v>
          </cell>
          <cell r="V116">
            <v>66036774.860928923</v>
          </cell>
          <cell r="W116">
            <v>0</v>
          </cell>
          <cell r="X116">
            <v>78302523.781017318</v>
          </cell>
          <cell r="Y116">
            <v>4.9576729017547977E-2</v>
          </cell>
          <cell r="Z116">
            <v>479.07303552413077</v>
          </cell>
          <cell r="AA116">
            <v>9184.1912624201741</v>
          </cell>
          <cell r="AB116">
            <v>9663.2642979443044</v>
          </cell>
        </row>
        <row r="117">
          <cell r="B117" t="str">
            <v>New York</v>
          </cell>
          <cell r="C117" t="str">
            <v>NY</v>
          </cell>
          <cell r="D117" t="str">
            <v>36</v>
          </cell>
          <cell r="E117">
            <v>5279</v>
          </cell>
          <cell r="F117">
            <v>91</v>
          </cell>
          <cell r="G117">
            <v>21372</v>
          </cell>
          <cell r="H117">
            <v>26742</v>
          </cell>
          <cell r="I117">
            <v>16846</v>
          </cell>
          <cell r="J117">
            <v>6918</v>
          </cell>
          <cell r="K117">
            <v>19781</v>
          </cell>
          <cell r="L117">
            <v>43545</v>
          </cell>
          <cell r="M117">
            <v>5629288</v>
          </cell>
          <cell r="N117">
            <v>6866477</v>
          </cell>
          <cell r="O117">
            <v>0.81982186789528311</v>
          </cell>
          <cell r="P117">
            <v>2650.2934135738938</v>
          </cell>
          <cell r="Q117">
            <v>60.13789206393772</v>
          </cell>
          <cell r="R117">
            <v>7901.7037483974582</v>
          </cell>
          <cell r="S117">
            <v>10612.135054035291</v>
          </cell>
          <cell r="T117">
            <v>474.59398982708973</v>
          </cell>
          <cell r="U117">
            <v>10137.541064208201</v>
          </cell>
          <cell r="V117">
            <v>166535255.88431266</v>
          </cell>
          <cell r="W117">
            <v>80594648.322473317</v>
          </cell>
          <cell r="X117">
            <v>141284522.75036976</v>
          </cell>
          <cell r="Y117">
            <v>4.9602874912181287E-2</v>
          </cell>
          <cell r="Z117">
            <v>1649.3897284889438</v>
          </cell>
          <cell r="AA117">
            <v>31602.508098181035</v>
          </cell>
          <cell r="AB117">
            <v>33251.897826669978</v>
          </cell>
        </row>
        <row r="118">
          <cell r="B118" t="str">
            <v>North Carolina</v>
          </cell>
          <cell r="C118" t="str">
            <v>NC</v>
          </cell>
          <cell r="D118" t="str">
            <v>37</v>
          </cell>
          <cell r="E118">
            <v>2266</v>
          </cell>
          <cell r="F118">
            <v>40</v>
          </cell>
          <cell r="G118">
            <v>12110</v>
          </cell>
          <cell r="H118">
            <v>14416</v>
          </cell>
          <cell r="I118">
            <v>45928</v>
          </cell>
          <cell r="J118">
            <v>20420</v>
          </cell>
          <cell r="K118">
            <v>58109</v>
          </cell>
          <cell r="L118">
            <v>124457</v>
          </cell>
          <cell r="M118">
            <v>4501334</v>
          </cell>
          <cell r="N118">
            <v>5589381</v>
          </cell>
          <cell r="O118">
            <v>0.80533676269340027</v>
          </cell>
          <cell r="P118">
            <v>1137.6330507972048</v>
          </cell>
          <cell r="Q118">
            <v>26.434238269862732</v>
          </cell>
          <cell r="R118">
            <v>4477.3363462985781</v>
          </cell>
          <cell r="S118">
            <v>5641.4036353656456</v>
          </cell>
          <cell r="T118">
            <v>257.99580883884505</v>
          </cell>
          <cell r="U118">
            <v>5383.4078265268008</v>
          </cell>
          <cell r="V118">
            <v>454032484.40310532</v>
          </cell>
          <cell r="W118">
            <v>237892847.46240318</v>
          </cell>
          <cell r="X118">
            <v>415039802.46202093</v>
          </cell>
          <cell r="Y118">
            <v>4.1081919120481016E-2</v>
          </cell>
          <cell r="Z118">
            <v>3894.3337067229445</v>
          </cell>
          <cell r="AA118">
            <v>90900.01354132127</v>
          </cell>
          <cell r="AB118">
            <v>94794.347248044214</v>
          </cell>
        </row>
        <row r="119">
          <cell r="B119" t="str">
            <v>North Dakota</v>
          </cell>
          <cell r="C119" t="str">
            <v>ND</v>
          </cell>
          <cell r="D119" t="str">
            <v>38</v>
          </cell>
          <cell r="E119">
            <v>245</v>
          </cell>
          <cell r="F119">
            <v>12</v>
          </cell>
          <cell r="G119">
            <v>3149</v>
          </cell>
          <cell r="H119">
            <v>3406</v>
          </cell>
          <cell r="I119">
            <v>4129</v>
          </cell>
          <cell r="J119">
            <v>1853</v>
          </cell>
          <cell r="K119">
            <v>10304</v>
          </cell>
          <cell r="L119">
            <v>16286</v>
          </cell>
          <cell r="M119">
            <v>449962</v>
          </cell>
          <cell r="N119">
            <v>740927</v>
          </cell>
          <cell r="O119">
            <v>0.60729599542195112</v>
          </cell>
          <cell r="P119">
            <v>123.00092561576132</v>
          </cell>
          <cell r="Q119">
            <v>7.9302714809588206</v>
          </cell>
          <cell r="R119">
            <v>1164.2553389342877</v>
          </cell>
          <cell r="S119">
            <v>1295.1865360310078</v>
          </cell>
          <cell r="T119">
            <v>61.902794715187227</v>
          </cell>
          <cell r="U119">
            <v>1233.2837413158206</v>
          </cell>
          <cell r="V119">
            <v>40818240.030056216</v>
          </cell>
          <cell r="W119">
            <v>21587436.15807214</v>
          </cell>
          <cell r="X119">
            <v>73595658.582468525</v>
          </cell>
          <cell r="Y119">
            <v>4.9721131850534082E-2</v>
          </cell>
          <cell r="Z119">
            <v>491.19564578216438</v>
          </cell>
          <cell r="AA119">
            <v>9387.8161043674481</v>
          </cell>
          <cell r="AB119">
            <v>9879.0117501496134</v>
          </cell>
        </row>
        <row r="120">
          <cell r="B120" t="str">
            <v>Ohio</v>
          </cell>
          <cell r="C120" t="str">
            <v>OH</v>
          </cell>
          <cell r="D120" t="str">
            <v>39</v>
          </cell>
          <cell r="E120">
            <v>2320</v>
          </cell>
          <cell r="F120">
            <v>18</v>
          </cell>
          <cell r="G120">
            <v>13586</v>
          </cell>
          <cell r="H120">
            <v>15924</v>
          </cell>
          <cell r="I120">
            <v>43053</v>
          </cell>
          <cell r="J120">
            <v>6623</v>
          </cell>
          <cell r="K120">
            <v>50742</v>
          </cell>
          <cell r="L120">
            <v>100418</v>
          </cell>
          <cell r="M120">
            <v>5074220</v>
          </cell>
          <cell r="N120">
            <v>6612824</v>
          </cell>
          <cell r="O120">
            <v>0.76733026616162781</v>
          </cell>
          <cell r="P120">
            <v>1164.7434588921074</v>
          </cell>
          <cell r="Q120">
            <v>11.895407221438228</v>
          </cell>
          <cell r="R120">
            <v>5023.046374963872</v>
          </cell>
          <cell r="S120">
            <v>6199.6852410774172</v>
          </cell>
          <cell r="T120">
            <v>286.09462251495682</v>
          </cell>
          <cell r="U120">
            <v>5913.5906185624608</v>
          </cell>
          <cell r="V120">
            <v>425610968.27658278</v>
          </cell>
          <cell r="W120">
            <v>77157900.526126161</v>
          </cell>
          <cell r="X120">
            <v>362421477.85244745</v>
          </cell>
          <cell r="Y120">
            <v>4.9809139309973417E-2</v>
          </cell>
          <cell r="Z120">
            <v>3299.5688345766303</v>
          </cell>
          <cell r="AA120">
            <v>62944.676303703622</v>
          </cell>
          <cell r="AB120">
            <v>66244.245138280254</v>
          </cell>
        </row>
        <row r="121">
          <cell r="B121" t="str">
            <v>Oklahoma</v>
          </cell>
          <cell r="C121" t="str">
            <v>OK</v>
          </cell>
          <cell r="D121" t="str">
            <v>40</v>
          </cell>
          <cell r="E121">
            <v>1136</v>
          </cell>
          <cell r="F121">
            <v>137</v>
          </cell>
          <cell r="G121">
            <v>6454</v>
          </cell>
          <cell r="H121">
            <v>7727</v>
          </cell>
          <cell r="I121">
            <v>6661</v>
          </cell>
          <cell r="J121">
            <v>1154</v>
          </cell>
          <cell r="K121">
            <v>10696</v>
          </cell>
          <cell r="L121">
            <v>18511</v>
          </cell>
          <cell r="M121">
            <v>1982039</v>
          </cell>
          <cell r="N121">
            <v>2867824</v>
          </cell>
          <cell r="O121">
            <v>0.6911299298701733</v>
          </cell>
          <cell r="P121">
            <v>570.32265918165251</v>
          </cell>
          <cell r="Q121">
            <v>90.537266074279856</v>
          </cell>
          <cell r="R121">
            <v>2386.1873475649072</v>
          </cell>
          <cell r="S121">
            <v>3047.0472728208397</v>
          </cell>
          <cell r="T121">
            <v>136.41904715369495</v>
          </cell>
          <cell r="U121">
            <v>2910.6282256671448</v>
          </cell>
          <cell r="V121">
            <v>65848945.710875385</v>
          </cell>
          <cell r="W121">
            <v>13444091.379608877</v>
          </cell>
          <cell r="X121">
            <v>76395493.419845045</v>
          </cell>
          <cell r="Y121">
            <v>4.9617800214503516E-2</v>
          </cell>
          <cell r="Z121">
            <v>573.74378159049206</v>
          </cell>
          <cell r="AA121">
            <v>10989.521399657588</v>
          </cell>
          <cell r="AB121">
            <v>11563.26518124808</v>
          </cell>
        </row>
        <row r="122">
          <cell r="B122" t="str">
            <v>Oregon</v>
          </cell>
          <cell r="C122" t="str">
            <v>OR</v>
          </cell>
          <cell r="D122" t="str">
            <v>41</v>
          </cell>
          <cell r="E122">
            <v>706</v>
          </cell>
          <cell r="F122">
            <v>56</v>
          </cell>
          <cell r="G122">
            <v>8805</v>
          </cell>
          <cell r="H122">
            <v>9567</v>
          </cell>
          <cell r="I122">
            <v>24522</v>
          </cell>
          <cell r="J122">
            <v>8804</v>
          </cell>
          <cell r="K122">
            <v>35818</v>
          </cell>
          <cell r="L122">
            <v>69144</v>
          </cell>
          <cell r="M122">
            <v>1610665</v>
          </cell>
          <cell r="N122">
            <v>2176235</v>
          </cell>
          <cell r="O122">
            <v>0.74011538275967437</v>
          </cell>
          <cell r="P122">
            <v>354.44348361113259</v>
          </cell>
          <cell r="Q122">
            <v>37.007933577807833</v>
          </cell>
          <cell r="R122">
            <v>3255.4043376679592</v>
          </cell>
          <cell r="S122">
            <v>3646.8557548568997</v>
          </cell>
          <cell r="T122">
            <v>173.40352139173194</v>
          </cell>
          <cell r="U122">
            <v>3473.4522334651679</v>
          </cell>
          <cell r="V122">
            <v>242418232.50594297</v>
          </cell>
          <cell r="W122">
            <v>102566534.23403513</v>
          </cell>
          <cell r="X122">
            <v>255827765.82946989</v>
          </cell>
          <cell r="Y122">
            <v>4.9697699972178967E-2</v>
          </cell>
          <cell r="Z122">
            <v>2385.5251166887692</v>
          </cell>
          <cell r="AA122">
            <v>45615.189564759239</v>
          </cell>
          <cell r="AB122">
            <v>48000.714681448007</v>
          </cell>
        </row>
        <row r="123">
          <cell r="B123" t="str">
            <v>Pennsylvania</v>
          </cell>
          <cell r="C123" t="str">
            <v>PA</v>
          </cell>
          <cell r="D123" t="str">
            <v>42</v>
          </cell>
          <cell r="E123">
            <v>2981</v>
          </cell>
          <cell r="F123">
            <v>125</v>
          </cell>
          <cell r="G123">
            <v>15167</v>
          </cell>
          <cell r="H123">
            <v>18273</v>
          </cell>
          <cell r="I123">
            <v>46844</v>
          </cell>
          <cell r="J123">
            <v>2563</v>
          </cell>
          <cell r="K123">
            <v>57014</v>
          </cell>
          <cell r="L123">
            <v>106421</v>
          </cell>
          <cell r="M123">
            <v>4861983</v>
          </cell>
          <cell r="N123">
            <v>6279163</v>
          </cell>
          <cell r="O123">
            <v>0.77430431412594325</v>
          </cell>
          <cell r="P123">
            <v>1496.5949357574875</v>
          </cell>
          <cell r="Q123">
            <v>82.606994593321048</v>
          </cell>
          <cell r="R123">
            <v>5607.5772390016964</v>
          </cell>
          <cell r="S123">
            <v>7186.7791693525051</v>
          </cell>
          <cell r="T123">
            <v>325.27671002280948</v>
          </cell>
          <cell r="U123">
            <v>6861.5024593296957</v>
          </cell>
          <cell r="V123">
            <v>463087826.58463389</v>
          </cell>
          <cell r="W123">
            <v>29858930.854365293</v>
          </cell>
          <cell r="X123">
            <v>407218835.25047177</v>
          </cell>
          <cell r="Y123">
            <v>4.6295508119540835E-2</v>
          </cell>
          <cell r="Z123">
            <v>3175.2260103820613</v>
          </cell>
          <cell r="AA123">
            <v>65410.823465157286</v>
          </cell>
          <cell r="AB123">
            <v>68586.049475539345</v>
          </cell>
        </row>
        <row r="124">
          <cell r="B124" t="str">
            <v>Rhode Island</v>
          </cell>
          <cell r="C124" t="str">
            <v>RI</v>
          </cell>
          <cell r="D124" t="str">
            <v>44</v>
          </cell>
          <cell r="E124">
            <v>283</v>
          </cell>
          <cell r="F124">
            <v>29</v>
          </cell>
          <cell r="G124">
            <v>1808</v>
          </cell>
          <cell r="H124">
            <v>2120</v>
          </cell>
          <cell r="I124">
            <v>6997</v>
          </cell>
          <cell r="J124">
            <v>377</v>
          </cell>
          <cell r="K124">
            <v>6496</v>
          </cell>
          <cell r="L124">
            <v>13870</v>
          </cell>
          <cell r="M124">
            <v>373630</v>
          </cell>
          <cell r="N124">
            <v>422126</v>
          </cell>
          <cell r="O124">
            <v>0.88511487091531915</v>
          </cell>
          <cell r="P124">
            <v>142.07862020106307</v>
          </cell>
          <cell r="Q124">
            <v>19.164822745650483</v>
          </cell>
          <cell r="R124">
            <v>668.45781289081992</v>
          </cell>
          <cell r="S124">
            <v>829.70125583753349</v>
          </cell>
          <cell r="T124">
            <v>37.685249250572895</v>
          </cell>
          <cell r="U124">
            <v>792.01600658696066</v>
          </cell>
          <cell r="V124">
            <v>69170555.943401143</v>
          </cell>
          <cell r="W124">
            <v>4392047.1838063663</v>
          </cell>
          <cell r="X124">
            <v>46397263.019382335</v>
          </cell>
          <cell r="Y124">
            <v>4.6584064015148932E-2</v>
          </cell>
          <cell r="Z124">
            <v>452.38158979497814</v>
          </cell>
          <cell r="AA124">
            <v>9258.6987841257178</v>
          </cell>
          <cell r="AB124">
            <v>9711.0803739206967</v>
          </cell>
        </row>
        <row r="125">
          <cell r="B125" t="str">
            <v>South Carolina</v>
          </cell>
          <cell r="C125" t="str">
            <v>SC</v>
          </cell>
          <cell r="D125" t="str">
            <v>45</v>
          </cell>
          <cell r="E125">
            <v>1391</v>
          </cell>
          <cell r="F125">
            <v>141</v>
          </cell>
          <cell r="G125">
            <v>6806</v>
          </cell>
          <cell r="H125">
            <v>8338</v>
          </cell>
          <cell r="I125">
            <v>84058</v>
          </cell>
          <cell r="J125">
            <v>12164</v>
          </cell>
          <cell r="K125">
            <v>107026</v>
          </cell>
          <cell r="L125">
            <v>203248</v>
          </cell>
          <cell r="M125">
            <v>2878563</v>
          </cell>
          <cell r="N125">
            <v>3712884</v>
          </cell>
          <cell r="O125">
            <v>0.77529031340596688</v>
          </cell>
          <cell r="P125">
            <v>698.34403074091426</v>
          </cell>
          <cell r="Q125">
            <v>93.180689901266149</v>
          </cell>
          <cell r="R125">
            <v>2516.3295766232968</v>
          </cell>
          <cell r="S125">
            <v>3307.8542972654773</v>
          </cell>
          <cell r="T125">
            <v>146.76679975339226</v>
          </cell>
          <cell r="U125">
            <v>3161.0874975120851</v>
          </cell>
          <cell r="V125">
            <v>830975931.32634187</v>
          </cell>
          <cell r="W125">
            <v>141710509.13480276</v>
          </cell>
          <cell r="X125">
            <v>764426334.96188641</v>
          </cell>
          <cell r="Y125">
            <v>5.1051990063741316E-2</v>
          </cell>
          <cell r="Z125">
            <v>6973.9906297704538</v>
          </cell>
          <cell r="AA125">
            <v>129631.66609512958</v>
          </cell>
          <cell r="AB125">
            <v>136605.65672490004</v>
          </cell>
        </row>
        <row r="126">
          <cell r="B126" t="str">
            <v>South Dakota</v>
          </cell>
          <cell r="C126" t="str">
            <v>SD</v>
          </cell>
          <cell r="D126" t="str">
            <v>46</v>
          </cell>
          <cell r="E126">
            <v>266</v>
          </cell>
          <cell r="F126">
            <v>17</v>
          </cell>
          <cell r="G126">
            <v>2722</v>
          </cell>
          <cell r="H126">
            <v>3005</v>
          </cell>
          <cell r="I126">
            <v>5864</v>
          </cell>
          <cell r="J126">
            <v>2322</v>
          </cell>
          <cell r="K126">
            <v>12265</v>
          </cell>
          <cell r="L126">
            <v>20451</v>
          </cell>
          <cell r="M126">
            <v>479647</v>
          </cell>
          <cell r="N126">
            <v>711103</v>
          </cell>
          <cell r="O126">
            <v>0.67451128739437183</v>
          </cell>
          <cell r="P126">
            <v>133.54386209711228</v>
          </cell>
          <cell r="Q126">
            <v>11.234551264691662</v>
          </cell>
          <cell r="R126">
            <v>1006.3839417526616</v>
          </cell>
          <cell r="S126">
            <v>1151.1623551144655</v>
          </cell>
          <cell r="T126">
            <v>54.325512950546454</v>
          </cell>
          <cell r="U126">
            <v>1096.8368421639191</v>
          </cell>
          <cell r="V126">
            <v>57970007.15336635</v>
          </cell>
          <cell r="W126">
            <v>27051282.654637616</v>
          </cell>
          <cell r="X126">
            <v>87601975.205160767</v>
          </cell>
          <cell r="Y126">
            <v>4.998006138204527E-2</v>
          </cell>
          <cell r="Z126">
            <v>673.3455811864477</v>
          </cell>
          <cell r="AA126">
            <v>12798.938417014862</v>
          </cell>
          <cell r="AB126">
            <v>13472.28399820131</v>
          </cell>
        </row>
        <row r="127">
          <cell r="B127" t="str">
            <v>Tennessee</v>
          </cell>
          <cell r="C127" t="str">
            <v>TN</v>
          </cell>
          <cell r="D127" t="str">
            <v>47</v>
          </cell>
          <cell r="E127">
            <v>2039</v>
          </cell>
          <cell r="F127">
            <v>65</v>
          </cell>
          <cell r="G127">
            <v>10163</v>
          </cell>
          <cell r="H127">
            <v>12267</v>
          </cell>
          <cell r="I127">
            <v>49780</v>
          </cell>
          <cell r="J127">
            <v>25085</v>
          </cell>
          <cell r="K127">
            <v>66973</v>
          </cell>
          <cell r="L127">
            <v>141838</v>
          </cell>
          <cell r="M127">
            <v>3362939</v>
          </cell>
          <cell r="N127">
            <v>4332195</v>
          </cell>
          <cell r="O127">
            <v>0.77626676546185014</v>
          </cell>
          <cell r="P127">
            <v>1023.6689278797442</v>
          </cell>
          <cell r="Q127">
            <v>42.955637188526943</v>
          </cell>
          <cell r="R127">
            <v>3757.4871418193602</v>
          </cell>
          <cell r="S127">
            <v>4824.111706887631</v>
          </cell>
          <cell r="T127">
            <v>218.58442492736035</v>
          </cell>
          <cell r="U127">
            <v>4605.5272819602706</v>
          </cell>
          <cell r="V127">
            <v>492112373.14027572</v>
          </cell>
          <cell r="W127">
            <v>292240062.6148082</v>
          </cell>
          <cell r="X127">
            <v>478350353.47861654</v>
          </cell>
          <cell r="Y127">
            <v>4.6914441264238646E-2</v>
          </cell>
          <cell r="Z127">
            <v>4978.6017251470321</v>
          </cell>
          <cell r="AA127">
            <v>101142.27685690396</v>
          </cell>
          <cell r="AB127">
            <v>106120.87858205099</v>
          </cell>
        </row>
        <row r="128">
          <cell r="B128" t="str">
            <v>Texas</v>
          </cell>
          <cell r="C128" t="str">
            <v>TX</v>
          </cell>
          <cell r="D128" t="str">
            <v>48</v>
          </cell>
          <cell r="E128">
            <v>7114</v>
          </cell>
          <cell r="F128">
            <v>574</v>
          </cell>
          <cell r="G128">
            <v>39923</v>
          </cell>
          <cell r="H128">
            <v>47611</v>
          </cell>
          <cell r="I128">
            <v>86425</v>
          </cell>
          <cell r="J128">
            <v>47476</v>
          </cell>
          <cell r="K128">
            <v>135662</v>
          </cell>
          <cell r="L128">
            <v>269563</v>
          </cell>
          <cell r="M128">
            <v>14306539</v>
          </cell>
          <cell r="N128">
            <v>19573859</v>
          </cell>
          <cell r="O128">
            <v>0.73090027878508779</v>
          </cell>
          <cell r="P128">
            <v>3571.5452442062283</v>
          </cell>
          <cell r="Q128">
            <v>379.33131917253019</v>
          </cell>
          <cell r="R128">
            <v>14760.421053119582</v>
          </cell>
          <cell r="S128">
            <v>18711.297616498341</v>
          </cell>
          <cell r="T128">
            <v>845.16740998216596</v>
          </cell>
          <cell r="U128">
            <v>17866.130206516176</v>
          </cell>
          <cell r="V128">
            <v>854375489.12511706</v>
          </cell>
          <cell r="W128">
            <v>553095045.35382235</v>
          </cell>
          <cell r="X128">
            <v>968957126.80656505</v>
          </cell>
          <cell r="Y128">
            <v>4.9667222070084865E-2</v>
          </cell>
          <cell r="Z128">
            <v>9625.7814194197417</v>
          </cell>
          <cell r="AA128">
            <v>184179.73091297742</v>
          </cell>
          <cell r="AB128">
            <v>193805.51233239716</v>
          </cell>
        </row>
        <row r="129">
          <cell r="B129" t="str">
            <v>Utah</v>
          </cell>
          <cell r="C129" t="str">
            <v>UT</v>
          </cell>
          <cell r="D129" t="str">
            <v>49</v>
          </cell>
          <cell r="E129">
            <v>767</v>
          </cell>
          <cell r="F129">
            <v>96</v>
          </cell>
          <cell r="G129">
            <v>6662</v>
          </cell>
          <cell r="H129">
            <v>7525</v>
          </cell>
          <cell r="I129">
            <v>10070</v>
          </cell>
          <cell r="J129">
            <v>3473</v>
          </cell>
          <cell r="K129">
            <v>13730</v>
          </cell>
          <cell r="L129">
            <v>27273</v>
          </cell>
          <cell r="M129">
            <v>1185913</v>
          </cell>
          <cell r="N129">
            <v>1651716</v>
          </cell>
          <cell r="O129">
            <v>0.71798844353387625</v>
          </cell>
          <cell r="P129">
            <v>385.06820386648536</v>
          </cell>
          <cell r="Q129">
            <v>63.442171847670565</v>
          </cell>
          <cell r="R129">
            <v>2463.0895738266831</v>
          </cell>
          <cell r="S129">
            <v>2911.5999495408391</v>
          </cell>
          <cell r="T129">
            <v>134.70652480732872</v>
          </cell>
          <cell r="U129">
            <v>2776.8934247335105</v>
          </cell>
          <cell r="V129">
            <v>99549449.528376386</v>
          </cell>
          <cell r="W129">
            <v>40460424.056656525</v>
          </cell>
          <cell r="X129">
            <v>98065643.666274548</v>
          </cell>
          <cell r="Y129">
            <v>4.9796016138007021E-2</v>
          </cell>
          <cell r="Z129">
            <v>905.16618722046212</v>
          </cell>
          <cell r="AA129">
            <v>17272.315816798535</v>
          </cell>
          <cell r="AB129">
            <v>18177.482004018995</v>
          </cell>
        </row>
        <row r="130">
          <cell r="B130" t="str">
            <v>Vermont</v>
          </cell>
          <cell r="C130" t="str">
            <v>VT</v>
          </cell>
          <cell r="D130" t="str">
            <v>50</v>
          </cell>
          <cell r="E130">
            <v>168</v>
          </cell>
          <cell r="F130">
            <v>0</v>
          </cell>
          <cell r="G130">
            <v>1032</v>
          </cell>
          <cell r="H130">
            <v>1200</v>
          </cell>
          <cell r="I130">
            <v>4037</v>
          </cell>
          <cell r="J130">
            <v>767</v>
          </cell>
          <cell r="K130">
            <v>6217</v>
          </cell>
          <cell r="L130">
            <v>11021</v>
          </cell>
          <cell r="M130">
            <v>314924</v>
          </cell>
          <cell r="N130">
            <v>386758</v>
          </cell>
          <cell r="O130">
            <v>0.81426628537741952</v>
          </cell>
          <cell r="P130">
            <v>84.343491850807752</v>
          </cell>
          <cell r="Q130">
            <v>0</v>
          </cell>
          <cell r="R130">
            <v>381.55335337573354</v>
          </cell>
          <cell r="S130">
            <v>465.8968452265413</v>
          </cell>
          <cell r="T130">
            <v>21.607972424310908</v>
          </cell>
          <cell r="U130">
            <v>444.2888728022304</v>
          </cell>
          <cell r="V130">
            <v>39908751.514007494</v>
          </cell>
          <cell r="W130">
            <v>8935544.2705026064</v>
          </cell>
          <cell r="X130">
            <v>44404523.428494453</v>
          </cell>
          <cell r="Y130">
            <v>4.9682200179172339E-2</v>
          </cell>
          <cell r="Z130">
            <v>402.58709213565015</v>
          </cell>
          <cell r="AA130">
            <v>7700.65895340526</v>
          </cell>
          <cell r="AB130">
            <v>8103.24604554091</v>
          </cell>
        </row>
        <row r="131">
          <cell r="B131" t="str">
            <v>Virginia</v>
          </cell>
          <cell r="C131" t="str">
            <v>VA</v>
          </cell>
          <cell r="D131" t="str">
            <v>51</v>
          </cell>
          <cell r="E131">
            <v>5239</v>
          </cell>
          <cell r="F131">
            <v>64</v>
          </cell>
          <cell r="G131">
            <v>21258</v>
          </cell>
          <cell r="H131">
            <v>26561</v>
          </cell>
          <cell r="I131">
            <v>40862</v>
          </cell>
          <cell r="J131">
            <v>25223</v>
          </cell>
          <cell r="K131">
            <v>48119</v>
          </cell>
          <cell r="L131">
            <v>114204</v>
          </cell>
          <cell r="M131">
            <v>4060200</v>
          </cell>
          <cell r="N131">
            <v>5046361</v>
          </cell>
          <cell r="O131">
            <v>0.80457977540647607</v>
          </cell>
          <cell r="P131">
            <v>2630.2116297998923</v>
          </cell>
          <cell r="Q131">
            <v>42.294781231780377</v>
          </cell>
          <cell r="R131">
            <v>7859.5554128501399</v>
          </cell>
          <cell r="S131">
            <v>10532.061823881813</v>
          </cell>
          <cell r="T131">
            <v>471.88411953650382</v>
          </cell>
          <cell r="U131">
            <v>10060.177704345309</v>
          </cell>
          <cell r="V131">
            <v>403951301.55198765</v>
          </cell>
          <cell r="W131">
            <v>293847761.58394688</v>
          </cell>
          <cell r="X131">
            <v>343686868.72377747</v>
          </cell>
          <cell r="Y131">
            <v>4.9572614748753435E-2</v>
          </cell>
          <cell r="Z131">
            <v>4464.1982617789654</v>
          </cell>
          <cell r="AA131">
            <v>85589.519590399155</v>
          </cell>
          <cell r="AB131">
            <v>90053.717852178117</v>
          </cell>
        </row>
        <row r="132">
          <cell r="B132" t="str">
            <v>Washington</v>
          </cell>
          <cell r="C132" t="str">
            <v>WA</v>
          </cell>
          <cell r="D132" t="str">
            <v>53</v>
          </cell>
          <cell r="E132">
            <v>2108</v>
          </cell>
          <cell r="F132">
            <v>30</v>
          </cell>
          <cell r="G132">
            <v>16127</v>
          </cell>
          <cell r="H132">
            <v>18265</v>
          </cell>
          <cell r="I132">
            <v>69895</v>
          </cell>
          <cell r="J132">
            <v>17934</v>
          </cell>
          <cell r="K132">
            <v>91415</v>
          </cell>
          <cell r="L132">
            <v>179244</v>
          </cell>
          <cell r="M132">
            <v>2707857</v>
          </cell>
          <cell r="N132">
            <v>3389633</v>
          </cell>
          <cell r="O132">
            <v>0.79886436083198387</v>
          </cell>
          <cell r="P132">
            <v>1058.3100048898973</v>
          </cell>
          <cell r="Q132">
            <v>19.825678702397049</v>
          </cell>
          <cell r="R132">
            <v>5962.5105909791228</v>
          </cell>
          <cell r="S132">
            <v>7040.6462745714171</v>
          </cell>
          <cell r="T132">
            <v>329.87482969565303</v>
          </cell>
          <cell r="U132">
            <v>6710.7714448757642</v>
          </cell>
          <cell r="V132">
            <v>690964128.57853699</v>
          </cell>
          <cell r="W132">
            <v>208930966.03284714</v>
          </cell>
          <cell r="X132">
            <v>652925769.53769028</v>
          </cell>
          <cell r="Y132">
            <v>4.2065185239729061E-2</v>
          </cell>
          <cell r="Z132">
            <v>5430.8251679678242</v>
          </cell>
          <cell r="AA132">
            <v>123674.16122440409</v>
          </cell>
          <cell r="AB132">
            <v>129104.98639237191</v>
          </cell>
        </row>
        <row r="133">
          <cell r="B133" t="str">
            <v>West Virginia</v>
          </cell>
          <cell r="C133" t="str">
            <v>WV</v>
          </cell>
          <cell r="D133" t="str">
            <v>54</v>
          </cell>
          <cell r="E133">
            <v>654</v>
          </cell>
          <cell r="F133">
            <v>4</v>
          </cell>
          <cell r="G133">
            <v>3587</v>
          </cell>
          <cell r="H133">
            <v>4245</v>
          </cell>
          <cell r="I133">
            <v>12498</v>
          </cell>
          <cell r="J133">
            <v>3074</v>
          </cell>
          <cell r="K133">
            <v>22520</v>
          </cell>
          <cell r="L133">
            <v>38092</v>
          </cell>
          <cell r="M133">
            <v>826824</v>
          </cell>
          <cell r="N133">
            <v>1276279</v>
          </cell>
          <cell r="O133">
            <v>0.64783953978714681</v>
          </cell>
          <cell r="P133">
            <v>328.33716470493022</v>
          </cell>
          <cell r="Q133">
            <v>2.6434238269862735</v>
          </cell>
          <cell r="R133">
            <v>1326.1936807739885</v>
          </cell>
          <cell r="S133">
            <v>1657.174269305905</v>
          </cell>
          <cell r="T133">
            <v>76.159798979847338</v>
          </cell>
          <cell r="U133">
            <v>1581.0144703260576</v>
          </cell>
          <cell r="V133">
            <v>123552037.75627092</v>
          </cell>
          <cell r="W133">
            <v>35812077.03719037</v>
          </cell>
          <cell r="X133">
            <v>160847654.43295723</v>
          </cell>
          <cell r="Y133">
            <v>4.9625453652171324E-2</v>
          </cell>
          <cell r="Z133">
            <v>1143.3427713410986</v>
          </cell>
          <cell r="AA133">
            <v>21896.099434162497</v>
          </cell>
          <cell r="AB133">
            <v>23039.442205503598</v>
          </cell>
        </row>
        <row r="134">
          <cell r="B134" t="str">
            <v>Wisconsin</v>
          </cell>
          <cell r="C134" t="str">
            <v>WI</v>
          </cell>
          <cell r="D134" t="str">
            <v>55</v>
          </cell>
          <cell r="E134">
            <v>1063</v>
          </cell>
          <cell r="F134">
            <v>4</v>
          </cell>
          <cell r="G134">
            <v>6155</v>
          </cell>
          <cell r="H134">
            <v>7222</v>
          </cell>
          <cell r="I134">
            <v>33846</v>
          </cell>
          <cell r="K134">
            <v>47789</v>
          </cell>
          <cell r="L134">
            <v>81635</v>
          </cell>
          <cell r="M134">
            <v>2601482</v>
          </cell>
          <cell r="N134">
            <v>3404820</v>
          </cell>
          <cell r="O134">
            <v>0.76405859927984443</v>
          </cell>
          <cell r="P134">
            <v>533.67340379409916</v>
          </cell>
          <cell r="Q134">
            <v>2.6434238269862735</v>
          </cell>
          <cell r="R134">
            <v>2275.6403973136048</v>
          </cell>
          <cell r="S134">
            <v>2811.9572249346902</v>
          </cell>
          <cell r="T134">
            <v>129.79222197950321</v>
          </cell>
          <cell r="U134">
            <v>2682.165002955187</v>
          </cell>
          <cell r="V134">
            <v>334592916.45853299</v>
          </cell>
          <cell r="W134">
            <v>0</v>
          </cell>
          <cell r="X134">
            <v>341329864.90659827</v>
          </cell>
          <cell r="Y134">
            <v>4.9814398661034556E-2</v>
          </cell>
          <cell r="Z134">
            <v>2603.6760935924376</v>
          </cell>
          <cell r="AA134">
            <v>49663.864287840799</v>
          </cell>
          <cell r="AB134">
            <v>52267.540381433239</v>
          </cell>
        </row>
        <row r="135">
          <cell r="B135" t="str">
            <v>Wyoming</v>
          </cell>
          <cell r="C135" t="str">
            <v>WY</v>
          </cell>
          <cell r="D135" t="str">
            <v>56</v>
          </cell>
          <cell r="E135">
            <v>278</v>
          </cell>
          <cell r="F135">
            <v>16</v>
          </cell>
          <cell r="G135">
            <v>3233</v>
          </cell>
          <cell r="H135">
            <v>3527</v>
          </cell>
          <cell r="I135">
            <v>3273</v>
          </cell>
          <cell r="J135">
            <v>1538</v>
          </cell>
          <cell r="K135">
            <v>9386</v>
          </cell>
          <cell r="L135">
            <v>14197</v>
          </cell>
          <cell r="M135">
            <v>342113</v>
          </cell>
          <cell r="N135">
            <v>679836</v>
          </cell>
          <cell r="O135">
            <v>0.50322871986773277</v>
          </cell>
          <cell r="P135">
            <v>139.56839722931284</v>
          </cell>
          <cell r="Q135">
            <v>10.573695307945094</v>
          </cell>
          <cell r="R135">
            <v>1195.3120072323125</v>
          </cell>
          <cell r="S135">
            <v>1345.4540997695703</v>
          </cell>
          <cell r="T135">
            <v>63.952652278495009</v>
          </cell>
          <cell r="U135">
            <v>1281.5014474910754</v>
          </cell>
          <cell r="V135">
            <v>32356042.53290724</v>
          </cell>
          <cell r="W135">
            <v>17917688.511125173</v>
          </cell>
          <cell r="X135">
            <v>67038902.509224541</v>
          </cell>
          <cell r="Y135">
            <v>5.0302243559943546E-2</v>
          </cell>
          <cell r="Z135">
            <v>363.53297797395419</v>
          </cell>
          <cell r="AA135">
            <v>6863.4404579274442</v>
          </cell>
          <cell r="AB135">
            <v>7226.9734359013983</v>
          </cell>
        </row>
        <row r="136">
          <cell r="B136" t="str">
            <v>US</v>
          </cell>
          <cell r="E136">
            <v>91586</v>
          </cell>
          <cell r="F136">
            <v>5627</v>
          </cell>
          <cell r="G136">
            <v>514777</v>
          </cell>
          <cell r="H136">
            <v>611990</v>
          </cell>
          <cell r="I136">
            <v>1379069</v>
          </cell>
          <cell r="J136">
            <v>402961</v>
          </cell>
          <cell r="K136">
            <v>1754161</v>
          </cell>
          <cell r="L136">
            <v>3536191</v>
          </cell>
          <cell r="M136">
            <v>142164123</v>
          </cell>
          <cell r="N136">
            <v>182801070</v>
          </cell>
          <cell r="P136">
            <v>45980.25621814331</v>
          </cell>
          <cell r="Q136">
            <v>3718.6364686129396</v>
          </cell>
          <cell r="R136">
            <v>190324.50638633713</v>
          </cell>
          <cell r="S136">
            <v>240023.39907309346</v>
          </cell>
          <cell r="T136">
            <v>10895.63300586116</v>
          </cell>
          <cell r="U136">
            <v>229127.7660672323</v>
          </cell>
        </row>
      </sheetData>
      <sheetData sheetId="5"/>
      <sheetData sheetId="6">
        <row r="4">
          <cell r="D4">
            <v>0</v>
          </cell>
          <cell r="E4">
            <v>6650021</v>
          </cell>
        </row>
        <row r="5">
          <cell r="D5">
            <v>5856</v>
          </cell>
          <cell r="E5">
            <v>681757</v>
          </cell>
          <cell r="F5">
            <v>82811</v>
          </cell>
          <cell r="G5">
            <v>622.19999999999982</v>
          </cell>
        </row>
        <row r="6">
          <cell r="C6" t="str">
            <v>Connecticut</v>
          </cell>
          <cell r="D6">
            <v>805.2</v>
          </cell>
          <cell r="E6">
            <v>203549</v>
          </cell>
          <cell r="H6">
            <v>0</v>
          </cell>
          <cell r="I6">
            <v>805.2</v>
          </cell>
        </row>
        <row r="7">
          <cell r="C7" t="str">
            <v>Maine</v>
          </cell>
          <cell r="D7">
            <v>915</v>
          </cell>
          <cell r="E7">
            <v>87732</v>
          </cell>
          <cell r="H7">
            <v>0</v>
          </cell>
          <cell r="I7">
            <v>915</v>
          </cell>
        </row>
        <row r="8">
          <cell r="C8" t="str">
            <v>Massachusetts</v>
          </cell>
          <cell r="D8">
            <v>2781.6</v>
          </cell>
          <cell r="E8">
            <v>222514</v>
          </cell>
          <cell r="H8">
            <v>0</v>
          </cell>
          <cell r="I8">
            <v>2781.6</v>
          </cell>
        </row>
        <row r="9">
          <cell r="C9" t="str">
            <v>New Hampshire</v>
          </cell>
          <cell r="D9">
            <v>732</v>
          </cell>
          <cell r="E9">
            <v>85151</v>
          </cell>
          <cell r="H9">
            <v>0</v>
          </cell>
          <cell r="I9">
            <v>732</v>
          </cell>
        </row>
        <row r="10">
          <cell r="C10" t="str">
            <v>Rhode Island</v>
          </cell>
          <cell r="D10" t="str">
            <v>NA</v>
          </cell>
          <cell r="E10">
            <v>46109</v>
          </cell>
          <cell r="H10">
            <v>0.55679800992621753</v>
          </cell>
          <cell r="I10">
            <v>346.43972177609243</v>
          </cell>
        </row>
        <row r="11">
          <cell r="C11" t="str">
            <v>Vermont</v>
          </cell>
          <cell r="D11" t="str">
            <v>NA</v>
          </cell>
          <cell r="E11">
            <v>36702</v>
          </cell>
          <cell r="H11">
            <v>0.44320199007378247</v>
          </cell>
          <cell r="I11">
            <v>275.76027822390739</v>
          </cell>
        </row>
        <row r="12">
          <cell r="D12">
            <v>9516</v>
          </cell>
          <cell r="E12">
            <v>2126370</v>
          </cell>
          <cell r="F12">
            <v>174694</v>
          </cell>
          <cell r="G12">
            <v>0</v>
          </cell>
        </row>
        <row r="13">
          <cell r="C13" t="str">
            <v>Delaware</v>
          </cell>
          <cell r="D13">
            <v>329.40000000000003</v>
          </cell>
          <cell r="E13">
            <v>198183</v>
          </cell>
          <cell r="H13">
            <v>0</v>
          </cell>
          <cell r="I13">
            <v>329.40000000000003</v>
          </cell>
        </row>
        <row r="14">
          <cell r="C14" t="str">
            <v>District of Columbia</v>
          </cell>
          <cell r="D14" t="str">
            <v>NA</v>
          </cell>
          <cell r="E14">
            <v>174694</v>
          </cell>
          <cell r="H14">
            <v>1</v>
          </cell>
          <cell r="I14">
            <v>0</v>
          </cell>
        </row>
        <row r="15">
          <cell r="C15" t="str">
            <v>Maryland</v>
          </cell>
          <cell r="D15">
            <v>1500.6</v>
          </cell>
          <cell r="E15">
            <v>194193</v>
          </cell>
          <cell r="H15">
            <v>0</v>
          </cell>
          <cell r="I15">
            <v>1500.6</v>
          </cell>
        </row>
        <row r="16">
          <cell r="C16" t="str">
            <v>New Jersey</v>
          </cell>
          <cell r="D16">
            <v>1793.4</v>
          </cell>
          <cell r="E16">
            <v>375783</v>
          </cell>
          <cell r="H16">
            <v>0</v>
          </cell>
          <cell r="I16">
            <v>1793.4</v>
          </cell>
        </row>
        <row r="17">
          <cell r="C17" t="str">
            <v>New York</v>
          </cell>
          <cell r="D17">
            <v>2964.6</v>
          </cell>
          <cell r="E17">
            <v>697702</v>
          </cell>
          <cell r="H17">
            <v>0</v>
          </cell>
          <cell r="I17">
            <v>2964.6</v>
          </cell>
        </row>
        <row r="18">
          <cell r="C18" t="str">
            <v>Pennsylvania</v>
          </cell>
          <cell r="D18">
            <v>2928</v>
          </cell>
          <cell r="E18">
            <v>485815</v>
          </cell>
          <cell r="H18">
            <v>0</v>
          </cell>
          <cell r="I18">
            <v>2928</v>
          </cell>
        </row>
        <row r="19">
          <cell r="D19">
            <v>32866.799999999996</v>
          </cell>
          <cell r="E19">
            <v>3841894</v>
          </cell>
          <cell r="F19">
            <v>0</v>
          </cell>
          <cell r="G19">
            <v>0</v>
          </cell>
        </row>
        <row r="20">
          <cell r="C20" t="str">
            <v>Florida</v>
          </cell>
          <cell r="D20">
            <v>18922.2</v>
          </cell>
          <cell r="E20">
            <v>2034439</v>
          </cell>
          <cell r="H20">
            <v>0</v>
          </cell>
          <cell r="I20">
            <v>18922.2</v>
          </cell>
        </row>
        <row r="21">
          <cell r="C21" t="str">
            <v>Georgia</v>
          </cell>
          <cell r="D21">
            <v>4831.2</v>
          </cell>
          <cell r="E21">
            <v>609050</v>
          </cell>
          <cell r="H21">
            <v>0</v>
          </cell>
          <cell r="I21">
            <v>4831.2</v>
          </cell>
        </row>
        <row r="22">
          <cell r="C22" t="str">
            <v>North Carolina</v>
          </cell>
          <cell r="D22">
            <v>3769.8</v>
          </cell>
          <cell r="E22">
            <v>501299</v>
          </cell>
          <cell r="H22">
            <v>0</v>
          </cell>
          <cell r="I22">
            <v>3769.8</v>
          </cell>
        </row>
        <row r="23">
          <cell r="C23" t="str">
            <v>South Carolina</v>
          </cell>
          <cell r="D23">
            <v>2122.7999999999997</v>
          </cell>
          <cell r="E23">
            <v>171077</v>
          </cell>
          <cell r="H23">
            <v>0</v>
          </cell>
          <cell r="I23">
            <v>2122.7999999999997</v>
          </cell>
        </row>
        <row r="24">
          <cell r="C24" t="str">
            <v>Virginia</v>
          </cell>
          <cell r="D24">
            <v>2854.7999999999997</v>
          </cell>
          <cell r="E24">
            <v>465801</v>
          </cell>
          <cell r="H24">
            <v>0</v>
          </cell>
          <cell r="I24">
            <v>2854.7999999999997</v>
          </cell>
        </row>
        <row r="25">
          <cell r="C25" t="str">
            <v>West Virginia</v>
          </cell>
          <cell r="D25">
            <v>366</v>
          </cell>
          <cell r="E25">
            <v>60228</v>
          </cell>
          <cell r="H25">
            <v>0</v>
          </cell>
          <cell r="I25">
            <v>366</v>
          </cell>
        </row>
        <row r="26">
          <cell r="D26">
            <v>34989.599999999999</v>
          </cell>
          <cell r="E26">
            <v>5868685</v>
          </cell>
          <cell r="F26">
            <v>0</v>
          </cell>
          <cell r="G26">
            <v>0</v>
          </cell>
        </row>
        <row r="27">
          <cell r="C27" t="str">
            <v>Illinois</v>
          </cell>
          <cell r="D27">
            <v>3184.2</v>
          </cell>
          <cell r="E27">
            <v>524815</v>
          </cell>
          <cell r="H27">
            <v>0</v>
          </cell>
          <cell r="I27">
            <v>3184.2</v>
          </cell>
        </row>
        <row r="28">
          <cell r="C28" t="str">
            <v>Indiana</v>
          </cell>
          <cell r="D28">
            <v>2598.6</v>
          </cell>
          <cell r="E28">
            <v>407980</v>
          </cell>
          <cell r="H28">
            <v>0</v>
          </cell>
          <cell r="I28">
            <v>2598.6</v>
          </cell>
        </row>
        <row r="29">
          <cell r="C29" t="str">
            <v>Iowa</v>
          </cell>
          <cell r="D29">
            <v>1610.4</v>
          </cell>
          <cell r="E29">
            <v>216134</v>
          </cell>
          <cell r="H29">
            <v>0</v>
          </cell>
          <cell r="I29">
            <v>1610.4</v>
          </cell>
        </row>
        <row r="30">
          <cell r="C30" t="str">
            <v>Kansas</v>
          </cell>
          <cell r="D30">
            <v>2379</v>
          </cell>
          <cell r="E30">
            <v>402305</v>
          </cell>
          <cell r="H30">
            <v>0</v>
          </cell>
          <cell r="I30">
            <v>2379</v>
          </cell>
        </row>
        <row r="31">
          <cell r="C31" t="str">
            <v>Kentucky</v>
          </cell>
          <cell r="D31">
            <v>1244.3999999999999</v>
          </cell>
          <cell r="E31">
            <v>111369</v>
          </cell>
          <cell r="H31">
            <v>0</v>
          </cell>
          <cell r="I31">
            <v>1244.3999999999999</v>
          </cell>
        </row>
        <row r="32">
          <cell r="C32" t="str">
            <v>Michigan</v>
          </cell>
          <cell r="D32">
            <v>3001.2</v>
          </cell>
          <cell r="E32">
            <v>374979</v>
          </cell>
          <cell r="H32">
            <v>0</v>
          </cell>
          <cell r="I32">
            <v>3001.2</v>
          </cell>
        </row>
        <row r="33">
          <cell r="C33" t="str">
            <v>Minnesota</v>
          </cell>
          <cell r="D33">
            <v>3074.4</v>
          </cell>
          <cell r="E33">
            <v>492786</v>
          </cell>
          <cell r="H33">
            <v>0</v>
          </cell>
          <cell r="I33">
            <v>3074.4</v>
          </cell>
        </row>
        <row r="34">
          <cell r="C34" t="str">
            <v>Missouri</v>
          </cell>
          <cell r="D34">
            <v>2781.6</v>
          </cell>
          <cell r="E34">
            <v>377244</v>
          </cell>
          <cell r="H34">
            <v>0</v>
          </cell>
          <cell r="I34">
            <v>2781.6</v>
          </cell>
        </row>
        <row r="35">
          <cell r="C35" t="str">
            <v>Nebraska</v>
          </cell>
          <cell r="D35">
            <v>1537.2</v>
          </cell>
          <cell r="E35">
            <v>224567</v>
          </cell>
          <cell r="H35">
            <v>0</v>
          </cell>
          <cell r="I35">
            <v>1537.2</v>
          </cell>
        </row>
        <row r="36">
          <cell r="C36" t="str">
            <v>North Dakota</v>
          </cell>
          <cell r="D36">
            <v>1573.8</v>
          </cell>
          <cell r="E36">
            <v>332294</v>
          </cell>
          <cell r="H36">
            <v>0</v>
          </cell>
          <cell r="I36">
            <v>1573.8</v>
          </cell>
        </row>
        <row r="37">
          <cell r="C37" t="str">
            <v>Ohio</v>
          </cell>
          <cell r="D37">
            <v>3220.8</v>
          </cell>
          <cell r="E37">
            <v>661736</v>
          </cell>
          <cell r="H37">
            <v>0</v>
          </cell>
          <cell r="I37">
            <v>3220.8</v>
          </cell>
        </row>
        <row r="38">
          <cell r="C38" t="str">
            <v>Oklahoma</v>
          </cell>
          <cell r="D38">
            <v>2342.4</v>
          </cell>
          <cell r="E38">
            <v>821596</v>
          </cell>
          <cell r="H38">
            <v>0</v>
          </cell>
          <cell r="I38">
            <v>2342.4</v>
          </cell>
        </row>
        <row r="39">
          <cell r="C39" t="str">
            <v>South Dakota</v>
          </cell>
          <cell r="D39">
            <v>1024.8</v>
          </cell>
          <cell r="E39">
            <v>133581</v>
          </cell>
          <cell r="H39">
            <v>0</v>
          </cell>
          <cell r="I39">
            <v>1024.8</v>
          </cell>
        </row>
        <row r="40">
          <cell r="C40" t="str">
            <v>Tennessee</v>
          </cell>
          <cell r="D40">
            <v>2964.6</v>
          </cell>
          <cell r="E40">
            <v>364755</v>
          </cell>
          <cell r="H40">
            <v>0</v>
          </cell>
          <cell r="I40">
            <v>2964.6</v>
          </cell>
        </row>
        <row r="41">
          <cell r="C41" t="str">
            <v>Wisconsin</v>
          </cell>
          <cell r="D41">
            <v>2415.6</v>
          </cell>
          <cell r="E41">
            <v>422544</v>
          </cell>
          <cell r="H41">
            <v>0</v>
          </cell>
          <cell r="I41">
            <v>2415.6</v>
          </cell>
        </row>
        <row r="42">
          <cell r="D42">
            <v>26827.8</v>
          </cell>
          <cell r="E42">
            <v>4091881</v>
          </cell>
          <cell r="F42">
            <v>0</v>
          </cell>
          <cell r="G42">
            <v>0</v>
          </cell>
        </row>
        <row r="43">
          <cell r="C43" t="str">
            <v>Alabama</v>
          </cell>
          <cell r="D43">
            <v>2525.4</v>
          </cell>
          <cell r="E43">
            <v>503625</v>
          </cell>
          <cell r="H43">
            <v>0</v>
          </cell>
          <cell r="I43">
            <v>2525.4</v>
          </cell>
        </row>
        <row r="44">
          <cell r="C44" t="str">
            <v>Arkansas</v>
          </cell>
          <cell r="D44">
            <v>1939.8</v>
          </cell>
          <cell r="E44">
            <v>298332</v>
          </cell>
          <cell r="H44">
            <v>0</v>
          </cell>
          <cell r="I44">
            <v>1939.8</v>
          </cell>
        </row>
        <row r="45">
          <cell r="C45" t="str">
            <v>Louisiana</v>
          </cell>
          <cell r="D45">
            <v>2525.4</v>
          </cell>
          <cell r="E45">
            <v>622340</v>
          </cell>
          <cell r="H45">
            <v>0</v>
          </cell>
          <cell r="I45">
            <v>2525.4</v>
          </cell>
        </row>
        <row r="46">
          <cell r="C46" t="str">
            <v>Mississippi</v>
          </cell>
          <cell r="D46">
            <v>1720.2</v>
          </cell>
          <cell r="E46">
            <v>261507</v>
          </cell>
          <cell r="H46">
            <v>0</v>
          </cell>
          <cell r="I46">
            <v>1720.2</v>
          </cell>
        </row>
        <row r="47">
          <cell r="C47" t="str">
            <v>New Mexico</v>
          </cell>
          <cell r="D47">
            <v>1683.6</v>
          </cell>
          <cell r="E47">
            <v>154585</v>
          </cell>
          <cell r="H47">
            <v>0</v>
          </cell>
          <cell r="I47">
            <v>1683.6</v>
          </cell>
        </row>
        <row r="48">
          <cell r="C48" t="str">
            <v>Texas</v>
          </cell>
          <cell r="D48">
            <v>16433.399999999998</v>
          </cell>
          <cell r="E48">
            <v>2251492</v>
          </cell>
          <cell r="H48">
            <v>0</v>
          </cell>
          <cell r="I48">
            <v>16433.399999999998</v>
          </cell>
        </row>
        <row r="49">
          <cell r="D49">
            <v>10211.4</v>
          </cell>
          <cell r="E49">
            <v>1726305</v>
          </cell>
          <cell r="F49">
            <v>0</v>
          </cell>
          <cell r="G49">
            <v>0</v>
          </cell>
        </row>
        <row r="50">
          <cell r="C50" t="str">
            <v>Colorado</v>
          </cell>
          <cell r="D50">
            <v>3403.8</v>
          </cell>
          <cell r="E50">
            <v>653802</v>
          </cell>
          <cell r="H50">
            <v>0</v>
          </cell>
          <cell r="I50">
            <v>3403.8</v>
          </cell>
        </row>
        <row r="51">
          <cell r="C51" t="str">
            <v>Idaho</v>
          </cell>
          <cell r="D51">
            <v>1793.4</v>
          </cell>
          <cell r="E51">
            <v>302199</v>
          </cell>
          <cell r="H51">
            <v>0</v>
          </cell>
          <cell r="I51">
            <v>1793.4</v>
          </cell>
        </row>
        <row r="52">
          <cell r="C52" t="str">
            <v>Montana</v>
          </cell>
          <cell r="D52">
            <v>2013</v>
          </cell>
          <cell r="E52">
            <v>226264</v>
          </cell>
          <cell r="H52">
            <v>0</v>
          </cell>
          <cell r="I52">
            <v>2013</v>
          </cell>
        </row>
        <row r="53">
          <cell r="C53" t="str">
            <v>Utah</v>
          </cell>
          <cell r="D53">
            <v>2232.6</v>
          </cell>
          <cell r="E53">
            <v>433010</v>
          </cell>
          <cell r="H53">
            <v>0</v>
          </cell>
          <cell r="I53">
            <v>2232.6</v>
          </cell>
        </row>
        <row r="54">
          <cell r="C54" t="str">
            <v>Wyoming</v>
          </cell>
          <cell r="D54">
            <v>768.6</v>
          </cell>
          <cell r="E54">
            <v>111030</v>
          </cell>
          <cell r="H54">
            <v>0</v>
          </cell>
          <cell r="I54">
            <v>768.6</v>
          </cell>
        </row>
        <row r="55">
          <cell r="D55">
            <v>43517.4</v>
          </cell>
          <cell r="E55">
            <v>5713029</v>
          </cell>
          <cell r="F55">
            <v>1180369</v>
          </cell>
          <cell r="G55">
            <v>2818.2000000000044</v>
          </cell>
        </row>
        <row r="56">
          <cell r="C56" t="str">
            <v>Alaska</v>
          </cell>
          <cell r="D56" t="str">
            <v>NA</v>
          </cell>
          <cell r="E56">
            <v>696077</v>
          </cell>
          <cell r="H56">
            <v>0.58971135297521371</v>
          </cell>
          <cell r="I56">
            <v>1661.9245349547498</v>
          </cell>
        </row>
        <row r="57">
          <cell r="C57" t="str">
            <v>Arizona</v>
          </cell>
          <cell r="D57">
            <v>6039</v>
          </cell>
          <cell r="E57">
            <v>808762</v>
          </cell>
          <cell r="H57">
            <v>0</v>
          </cell>
          <cell r="I57">
            <v>6039</v>
          </cell>
        </row>
        <row r="58">
          <cell r="C58" t="str">
            <v>California</v>
          </cell>
          <cell r="D58">
            <v>27084</v>
          </cell>
          <cell r="E58">
            <v>2408414</v>
          </cell>
          <cell r="H58">
            <v>0</v>
          </cell>
          <cell r="I58">
            <v>27084</v>
          </cell>
        </row>
        <row r="59">
          <cell r="C59" t="str">
            <v>Hawaii</v>
          </cell>
          <cell r="D59" t="str">
            <v>NA</v>
          </cell>
          <cell r="E59">
            <v>152003</v>
          </cell>
          <cell r="H59">
            <v>0.12877583196441114</v>
          </cell>
          <cell r="I59">
            <v>362.91604964210404</v>
          </cell>
        </row>
        <row r="60">
          <cell r="C60" t="str">
            <v>Nevada</v>
          </cell>
          <cell r="D60" t="str">
            <v>NA</v>
          </cell>
          <cell r="E60">
            <v>332289</v>
          </cell>
          <cell r="H60">
            <v>0.28151281506037518</v>
          </cell>
          <cell r="I60">
            <v>793.35941540315059</v>
          </cell>
        </row>
        <row r="61">
          <cell r="C61" t="str">
            <v>Oregon</v>
          </cell>
          <cell r="D61">
            <v>4062.6</v>
          </cell>
          <cell r="E61">
            <v>775734</v>
          </cell>
          <cell r="H61">
            <v>0</v>
          </cell>
          <cell r="I61">
            <v>4062.6</v>
          </cell>
        </row>
        <row r="62">
          <cell r="C62" t="str">
            <v>Washington</v>
          </cell>
          <cell r="D62">
            <v>3513.6</v>
          </cell>
          <cell r="E62">
            <v>539750</v>
          </cell>
          <cell r="H62">
            <v>0</v>
          </cell>
          <cell r="I62">
            <v>3513.6</v>
          </cell>
        </row>
        <row r="68">
          <cell r="A68" t="str">
            <v>Alabama</v>
          </cell>
          <cell r="B68" t="str">
            <v>AL</v>
          </cell>
          <cell r="C68" t="str">
            <v>01</v>
          </cell>
          <cell r="D68">
            <v>47480.912272179317</v>
          </cell>
          <cell r="E68">
            <v>72683.794031652724</v>
          </cell>
        </row>
        <row r="69">
          <cell r="A69" t="str">
            <v>Alaska</v>
          </cell>
          <cell r="B69" t="str">
            <v>AK</v>
          </cell>
          <cell r="C69" t="str">
            <v>02</v>
          </cell>
          <cell r="D69">
            <v>5904.1423291759374</v>
          </cell>
          <cell r="E69">
            <v>8890.0416522144442</v>
          </cell>
        </row>
        <row r="70">
          <cell r="A70" t="str">
            <v>Arizona</v>
          </cell>
          <cell r="B70" t="str">
            <v>AZ</v>
          </cell>
          <cell r="C70" t="str">
            <v>04</v>
          </cell>
          <cell r="D70">
            <v>9977.0788474646233</v>
          </cell>
          <cell r="E70">
            <v>15896.229017679989</v>
          </cell>
        </row>
        <row r="71">
          <cell r="A71" t="str">
            <v>Arkansas</v>
          </cell>
          <cell r="B71" t="str">
            <v>AR</v>
          </cell>
          <cell r="C71" t="str">
            <v>05</v>
          </cell>
          <cell r="D71">
            <v>22925.558622545432</v>
          </cell>
          <cell r="E71">
            <v>42890.397054756191</v>
          </cell>
        </row>
        <row r="72">
          <cell r="A72" t="str">
            <v>California</v>
          </cell>
          <cell r="B72" t="str">
            <v>CA</v>
          </cell>
          <cell r="C72" t="str">
            <v>06</v>
          </cell>
          <cell r="D72">
            <v>54910.284003552653</v>
          </cell>
          <cell r="E72">
            <v>91583.353589389299</v>
          </cell>
        </row>
        <row r="73">
          <cell r="A73" t="str">
            <v>Colorado</v>
          </cell>
          <cell r="B73" t="str">
            <v>CO</v>
          </cell>
          <cell r="C73" t="str">
            <v>08</v>
          </cell>
          <cell r="D73">
            <v>4439.4506918604729</v>
          </cell>
          <cell r="E73">
            <v>8351.0995284104702</v>
          </cell>
        </row>
        <row r="74">
          <cell r="A74" t="str">
            <v>Connecticut</v>
          </cell>
          <cell r="B74" t="str">
            <v>CT</v>
          </cell>
          <cell r="C74" t="str">
            <v>09</v>
          </cell>
          <cell r="D74">
            <v>10244.172326981468</v>
          </cell>
          <cell r="E74">
            <v>17985.362960540224</v>
          </cell>
        </row>
        <row r="75">
          <cell r="A75" t="str">
            <v>Delaware</v>
          </cell>
          <cell r="B75" t="str">
            <v>DE</v>
          </cell>
          <cell r="C75" t="str">
            <v>10</v>
          </cell>
          <cell r="D75">
            <v>10907.525077261975</v>
          </cell>
          <cell r="E75">
            <v>19398.567362573263</v>
          </cell>
        </row>
        <row r="76">
          <cell r="A76" t="str">
            <v>District of Columbia</v>
          </cell>
          <cell r="B76" t="str">
            <v>DC</v>
          </cell>
          <cell r="C76" t="str">
            <v>11</v>
          </cell>
          <cell r="D76">
            <v>246.95429938563478</v>
          </cell>
          <cell r="E76">
            <v>454.10155497445049</v>
          </cell>
        </row>
        <row r="77">
          <cell r="A77" t="str">
            <v>Florida</v>
          </cell>
          <cell r="B77" t="str">
            <v>FL</v>
          </cell>
          <cell r="C77" t="str">
            <v>12</v>
          </cell>
          <cell r="D77">
            <v>181135.77649801696</v>
          </cell>
          <cell r="E77">
            <v>325815.29722559842</v>
          </cell>
        </row>
        <row r="78">
          <cell r="A78" t="str">
            <v>Georgia</v>
          </cell>
          <cell r="B78" t="str">
            <v>GA</v>
          </cell>
          <cell r="C78" t="str">
            <v>13</v>
          </cell>
          <cell r="D78">
            <v>40303.475034982184</v>
          </cell>
          <cell r="E78">
            <v>74510.928451268599</v>
          </cell>
        </row>
        <row r="79">
          <cell r="A79" t="str">
            <v>Hawaii</v>
          </cell>
          <cell r="B79" t="str">
            <v>HI</v>
          </cell>
          <cell r="C79" t="str">
            <v>15</v>
          </cell>
          <cell r="D79">
            <v>685.85409798883882</v>
          </cell>
          <cell r="E79">
            <v>1098.4463518300979</v>
          </cell>
        </row>
        <row r="80">
          <cell r="A80" t="str">
            <v>Idaho</v>
          </cell>
          <cell r="B80" t="str">
            <v>ID</v>
          </cell>
          <cell r="C80" t="str">
            <v>16</v>
          </cell>
          <cell r="D80">
            <v>4835.3445789279767</v>
          </cell>
          <cell r="E80">
            <v>8723.3919151741175</v>
          </cell>
        </row>
        <row r="81">
          <cell r="A81" t="str">
            <v>Illinois</v>
          </cell>
          <cell r="B81" t="str">
            <v>IL</v>
          </cell>
          <cell r="C81" t="str">
            <v>17</v>
          </cell>
          <cell r="D81">
            <v>22076.201500403964</v>
          </cell>
          <cell r="E81">
            <v>41788.552416001323</v>
          </cell>
        </row>
        <row r="82">
          <cell r="A82" t="str">
            <v>Indiana</v>
          </cell>
          <cell r="B82" t="str">
            <v>IN</v>
          </cell>
          <cell r="C82" t="str">
            <v>18</v>
          </cell>
          <cell r="D82">
            <v>14741.443612461688</v>
          </cell>
          <cell r="E82">
            <v>27265.144558184031</v>
          </cell>
        </row>
        <row r="83">
          <cell r="A83" t="str">
            <v>Iowa</v>
          </cell>
          <cell r="B83" t="str">
            <v>IA</v>
          </cell>
          <cell r="C83" t="str">
            <v>19</v>
          </cell>
          <cell r="D83">
            <v>8904.6685385009023</v>
          </cell>
          <cell r="E83">
            <v>16045.072403479862</v>
          </cell>
        </row>
        <row r="84">
          <cell r="A84" t="str">
            <v>Kansas</v>
          </cell>
          <cell r="B84" t="str">
            <v>KS</v>
          </cell>
          <cell r="C84" t="str">
            <v>20</v>
          </cell>
          <cell r="D84">
            <v>4045.2283702548134</v>
          </cell>
          <cell r="E84">
            <v>7134.0732107649883</v>
          </cell>
        </row>
        <row r="85">
          <cell r="A85" t="str">
            <v>Kentucky</v>
          </cell>
          <cell r="B85" t="str">
            <v>KY</v>
          </cell>
          <cell r="C85" t="str">
            <v>21</v>
          </cell>
          <cell r="D85">
            <v>20537.880704459905</v>
          </cell>
          <cell r="E85">
            <v>37230.414340600932</v>
          </cell>
        </row>
        <row r="86">
          <cell r="A86" t="str">
            <v>Louisiana</v>
          </cell>
          <cell r="B86" t="str">
            <v>LA</v>
          </cell>
          <cell r="C86" t="str">
            <v>22</v>
          </cell>
          <cell r="D86">
            <v>43268.651287939865</v>
          </cell>
          <cell r="E86">
            <v>78556.431052891203</v>
          </cell>
        </row>
        <row r="87">
          <cell r="A87" t="str">
            <v>Maine</v>
          </cell>
          <cell r="B87" t="str">
            <v>ME</v>
          </cell>
          <cell r="C87" t="str">
            <v>23</v>
          </cell>
          <cell r="D87">
            <v>14193.208889191359</v>
          </cell>
          <cell r="E87">
            <v>26108.014557157607</v>
          </cell>
        </row>
        <row r="88">
          <cell r="A88" t="str">
            <v>Maryland</v>
          </cell>
          <cell r="B88" t="str">
            <v>MD</v>
          </cell>
          <cell r="C88" t="str">
            <v>24</v>
          </cell>
          <cell r="D88">
            <v>17855.380959633905</v>
          </cell>
          <cell r="E88">
            <v>31162.63684658545</v>
          </cell>
        </row>
        <row r="89">
          <cell r="A89" t="str">
            <v>Massachusetts</v>
          </cell>
          <cell r="B89" t="str">
            <v>MA</v>
          </cell>
          <cell r="C89" t="str">
            <v>25</v>
          </cell>
          <cell r="D89">
            <v>14988.425006724146</v>
          </cell>
          <cell r="E89">
            <v>27456.965807964742</v>
          </cell>
        </row>
        <row r="90">
          <cell r="A90" t="str">
            <v>Michigan</v>
          </cell>
          <cell r="B90" t="str">
            <v>MI</v>
          </cell>
          <cell r="C90" t="str">
            <v>26</v>
          </cell>
          <cell r="D90">
            <v>88097.984223815016</v>
          </cell>
          <cell r="E90">
            <v>167250.77831570621</v>
          </cell>
        </row>
        <row r="91">
          <cell r="A91" t="str">
            <v>Minnesota</v>
          </cell>
          <cell r="B91" t="str">
            <v>MN</v>
          </cell>
          <cell r="C91" t="str">
            <v>27</v>
          </cell>
          <cell r="D91">
            <v>45609.202027674808</v>
          </cell>
          <cell r="E91">
            <v>83830.183944888035</v>
          </cell>
        </row>
        <row r="92">
          <cell r="A92" t="str">
            <v>Mississippi</v>
          </cell>
          <cell r="B92" t="str">
            <v>MS</v>
          </cell>
          <cell r="C92" t="str">
            <v>28</v>
          </cell>
          <cell r="D92">
            <v>17325.731549760916</v>
          </cell>
          <cell r="E92">
            <v>31884.064174199593</v>
          </cell>
        </row>
        <row r="93">
          <cell r="A93" t="str">
            <v>Missouri</v>
          </cell>
          <cell r="B93" t="str">
            <v>MO</v>
          </cell>
          <cell r="C93" t="str">
            <v>29</v>
          </cell>
          <cell r="D93">
            <v>36171.001887556093</v>
          </cell>
          <cell r="E93">
            <v>64440.136632449641</v>
          </cell>
        </row>
        <row r="94">
          <cell r="A94" t="str">
            <v>Montana</v>
          </cell>
          <cell r="B94" t="str">
            <v>MT</v>
          </cell>
          <cell r="C94" t="str">
            <v>30</v>
          </cell>
          <cell r="D94">
            <v>3247.560630371147</v>
          </cell>
          <cell r="E94">
            <v>5549.9412501329316</v>
          </cell>
        </row>
        <row r="95">
          <cell r="A95" t="str">
            <v>Nebraska</v>
          </cell>
          <cell r="B95" t="str">
            <v>NE</v>
          </cell>
          <cell r="C95" t="str">
            <v>31</v>
          </cell>
          <cell r="D95">
            <v>5043.6591914923565</v>
          </cell>
          <cell r="E95">
            <v>9142.1188016578581</v>
          </cell>
        </row>
        <row r="96">
          <cell r="A96" t="str">
            <v>Nevada</v>
          </cell>
          <cell r="B96" t="str">
            <v>NV</v>
          </cell>
          <cell r="C96" t="str">
            <v>32</v>
          </cell>
          <cell r="D96">
            <v>4050.6716022376204</v>
          </cell>
          <cell r="E96">
            <v>6380.6914558012559</v>
          </cell>
        </row>
        <row r="97">
          <cell r="A97" t="str">
            <v>New Hampshire</v>
          </cell>
          <cell r="B97" t="str">
            <v>NH</v>
          </cell>
          <cell r="C97" t="str">
            <v>33</v>
          </cell>
          <cell r="D97">
            <v>14636.290964255259</v>
          </cell>
          <cell r="E97">
            <v>25983.962557898158</v>
          </cell>
        </row>
        <row r="98">
          <cell r="A98" t="str">
            <v>New Jersey</v>
          </cell>
          <cell r="B98" t="str">
            <v>NJ</v>
          </cell>
          <cell r="C98" t="str">
            <v>34</v>
          </cell>
          <cell r="D98">
            <v>18713.808315932471</v>
          </cell>
          <cell r="E98">
            <v>33236.637377136438</v>
          </cell>
        </row>
        <row r="99">
          <cell r="A99" t="str">
            <v>New Mexico</v>
          </cell>
          <cell r="B99" t="str">
            <v>NM</v>
          </cell>
          <cell r="C99" t="str">
            <v>35</v>
          </cell>
          <cell r="D99">
            <v>2983.6677353877285</v>
          </cell>
          <cell r="E99">
            <v>5523.0511067115649</v>
          </cell>
        </row>
        <row r="100">
          <cell r="A100" t="str">
            <v>New York</v>
          </cell>
          <cell r="B100" t="str">
            <v>NY</v>
          </cell>
          <cell r="C100" t="str">
            <v>36</v>
          </cell>
          <cell r="D100">
            <v>53602.365208950687</v>
          </cell>
          <cell r="E100">
            <v>96144.30870214598</v>
          </cell>
        </row>
        <row r="101">
          <cell r="A101" t="str">
            <v>North Carolina</v>
          </cell>
          <cell r="B101" t="str">
            <v>NC</v>
          </cell>
          <cell r="C101" t="str">
            <v>37</v>
          </cell>
          <cell r="D101">
            <v>43534.680118583427</v>
          </cell>
          <cell r="E101">
            <v>76734.423867055739</v>
          </cell>
        </row>
        <row r="102">
          <cell r="A102" t="str">
            <v>North Dakota</v>
          </cell>
          <cell r="B102" t="str">
            <v>ND</v>
          </cell>
          <cell r="C102" t="str">
            <v>38</v>
          </cell>
          <cell r="D102">
            <v>5062.8636949630791</v>
          </cell>
          <cell r="E102">
            <v>8377.8113831727733</v>
          </cell>
        </row>
        <row r="103">
          <cell r="A103" t="str">
            <v>Ohio</v>
          </cell>
          <cell r="B103" t="str">
            <v>OH</v>
          </cell>
          <cell r="C103" t="str">
            <v>39</v>
          </cell>
          <cell r="D103">
            <v>47046.686898674954</v>
          </cell>
          <cell r="E103">
            <v>85583.102167116158</v>
          </cell>
        </row>
        <row r="104">
          <cell r="A104" t="str">
            <v>Oklahoma</v>
          </cell>
          <cell r="B104" t="str">
            <v>OK</v>
          </cell>
          <cell r="C104" t="str">
            <v>40</v>
          </cell>
          <cell r="D104">
            <v>28790.719188256982</v>
          </cell>
          <cell r="E104">
            <v>50119.140767719749</v>
          </cell>
        </row>
        <row r="105">
          <cell r="A105" t="str">
            <v>Oregon</v>
          </cell>
          <cell r="B105" t="str">
            <v>OR</v>
          </cell>
          <cell r="C105" t="str">
            <v>41</v>
          </cell>
          <cell r="D105">
            <v>8795.4342459607305</v>
          </cell>
          <cell r="E105">
            <v>14380.57606667152</v>
          </cell>
        </row>
        <row r="106">
          <cell r="A106" t="str">
            <v>Pennsylvania</v>
          </cell>
          <cell r="B106" t="str">
            <v>PA</v>
          </cell>
          <cell r="C106" t="str">
            <v>42</v>
          </cell>
          <cell r="D106">
            <v>26341.061555040316</v>
          </cell>
          <cell r="E106">
            <v>46714.603185115426</v>
          </cell>
        </row>
        <row r="107">
          <cell r="A107" t="str">
            <v>Rhode Island</v>
          </cell>
          <cell r="B107" t="str">
            <v>RI</v>
          </cell>
          <cell r="C107" t="str">
            <v>44</v>
          </cell>
          <cell r="D107">
            <v>4248.9287031130762</v>
          </cell>
          <cell r="E107">
            <v>7676.6648297866641</v>
          </cell>
        </row>
        <row r="108">
          <cell r="A108" t="str">
            <v>South Carolina</v>
          </cell>
          <cell r="B108" t="str">
            <v>SC</v>
          </cell>
          <cell r="C108" t="str">
            <v>45</v>
          </cell>
          <cell r="D108">
            <v>65483.790943360109</v>
          </cell>
          <cell r="E108">
            <v>118764.30821037291</v>
          </cell>
        </row>
        <row r="109">
          <cell r="A109" t="str">
            <v>South Dakota</v>
          </cell>
          <cell r="B109" t="str">
            <v>SD</v>
          </cell>
          <cell r="C109" t="str">
            <v>46</v>
          </cell>
          <cell r="D109">
            <v>3942.6950611902917</v>
          </cell>
          <cell r="E109">
            <v>6954.9621558143863</v>
          </cell>
        </row>
        <row r="110">
          <cell r="A110" t="str">
            <v>Tennessee</v>
          </cell>
          <cell r="B110" t="str">
            <v>TN</v>
          </cell>
          <cell r="C110" t="str">
            <v>47</v>
          </cell>
          <cell r="D110">
            <v>37002.616216488532</v>
          </cell>
          <cell r="E110">
            <v>68679.910535200193</v>
          </cell>
        </row>
        <row r="111">
          <cell r="A111" t="str">
            <v>Texas</v>
          </cell>
          <cell r="B111" t="str">
            <v>TX</v>
          </cell>
          <cell r="C111" t="str">
            <v>48</v>
          </cell>
          <cell r="D111">
            <v>75918.341349543538</v>
          </cell>
          <cell r="E111">
            <v>139247.57819707322</v>
          </cell>
        </row>
        <row r="112">
          <cell r="A112" t="str">
            <v>Utah</v>
          </cell>
          <cell r="B112" t="str">
            <v>UT</v>
          </cell>
          <cell r="C112" t="str">
            <v>49</v>
          </cell>
          <cell r="D112">
            <v>9331.0633235030418</v>
          </cell>
          <cell r="E112">
            <v>17018.305670803828</v>
          </cell>
        </row>
        <row r="113">
          <cell r="A113" t="str">
            <v>Vermont</v>
          </cell>
          <cell r="B113" t="str">
            <v>VT</v>
          </cell>
          <cell r="C113" t="str">
            <v>50</v>
          </cell>
          <cell r="D113">
            <v>3792.9624868863857</v>
          </cell>
          <cell r="E113">
            <v>7003.0257638993644</v>
          </cell>
        </row>
        <row r="114">
          <cell r="A114" t="str">
            <v>Virginia</v>
          </cell>
          <cell r="B114" t="str">
            <v>VA</v>
          </cell>
          <cell r="C114" t="str">
            <v>51</v>
          </cell>
          <cell r="D114">
            <v>32839.740232367432</v>
          </cell>
          <cell r="E114">
            <v>56949.221548306734</v>
          </cell>
        </row>
        <row r="115">
          <cell r="A115" t="str">
            <v>Washington</v>
          </cell>
          <cell r="B115" t="str">
            <v>WA</v>
          </cell>
          <cell r="C115" t="str">
            <v>53</v>
          </cell>
          <cell r="D115">
            <v>15322.189473591596</v>
          </cell>
          <cell r="E115">
            <v>26568.642834644561</v>
          </cell>
        </row>
        <row r="116">
          <cell r="A116" t="str">
            <v>West Virginia</v>
          </cell>
          <cell r="B116" t="str">
            <v>WV</v>
          </cell>
          <cell r="C116" t="str">
            <v>54</v>
          </cell>
          <cell r="D116">
            <v>5026.7611371710873</v>
          </cell>
          <cell r="E116">
            <v>8614.7430414832907</v>
          </cell>
        </row>
        <row r="117">
          <cell r="A117" t="str">
            <v>Wisconsin</v>
          </cell>
          <cell r="B117" t="str">
            <v>WI</v>
          </cell>
          <cell r="C117" t="str">
            <v>55</v>
          </cell>
          <cell r="D117">
            <v>53782.200358082519</v>
          </cell>
          <cell r="E117">
            <v>98123.999275666283</v>
          </cell>
        </row>
        <row r="118">
          <cell r="A118" t="str">
            <v>Wyoming</v>
          </cell>
          <cell r="B118" t="str">
            <v>WY</v>
          </cell>
          <cell r="C118" t="str">
            <v>56</v>
          </cell>
          <cell r="D118">
            <v>2874.1058992079461</v>
          </cell>
          <cell r="E118">
            <v>4872.365720994826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8" workbookViewId="0">
      <selection activeCell="L12" sqref="L12"/>
    </sheetView>
  </sheetViews>
  <sheetFormatPr defaultRowHeight="15" x14ac:dyDescent="0.25"/>
  <cols>
    <col min="2" max="3" width="10.85546875" bestFit="1" customWidth="1"/>
    <col min="4" max="9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s="1">
        <f>(1544.57535082101/(IFERROR(VLOOKUP(A2,'[1]Inputs for private sector'!$A$358:$T$408,20,),0)))-1</f>
        <v>7.5110413226187056E-4</v>
      </c>
      <c r="C2" s="1">
        <f>(2525.4/(VLOOKUP(A2,'[1]Aviation&amp;Boating'!$C$4:$I$62,7,FALSE)))-1</f>
        <v>0</v>
      </c>
      <c r="D2" s="1">
        <f>(13262.6624112702/(VLOOKUP(A2,'[1]Ind&amp;Com&amp;Con Estimates'!$A$6:$S$57,19,FALSE)))-1</f>
        <v>5.0936734830031583E-9</v>
      </c>
      <c r="E2" s="1">
        <f>(2503.10851077833/(VLOOKUP(A2,'[1]Ind&amp;Com&amp;Con Estimates'!$A$6:$S$56,18,FALSE)))-1</f>
        <v>2.8676965468932281E-8</v>
      </c>
      <c r="F2" s="1">
        <f>(72683.794014875/(VLOOKUP(A2,'[1]Aviation&amp;Boating'!$A$68:$E$118,5,)))-1</f>
        <v>-2.3083157607572957E-10</v>
      </c>
      <c r="G2" s="1">
        <f>(3247.9280722949/(VLOOKUP(A2,'[1]Inputs for public use'!$B$85:$U$136,20,)))-1</f>
        <v>7.7394931237151354E-6</v>
      </c>
      <c r="H2" s="1">
        <f>(59820.4095596915/(VLOOKUP(A2,'[1]Inputs for public use'!$B$85:$AB$135,26,)))-1</f>
        <v>1.6184184600698259E-5</v>
      </c>
      <c r="I2" s="1">
        <f>(3174.9669774731/(VLOOKUP(A2,'[1]Inputs for public use'!$B$85:$AB$135,25, )))-1</f>
        <v>-3.0483270293624187E-4</v>
      </c>
    </row>
    <row r="3" spans="1:12" x14ac:dyDescent="0.25">
      <c r="A3" t="s">
        <v>10</v>
      </c>
      <c r="B3" s="1">
        <f>(27.71969592874/(IFERROR(VLOOKUP(A3,'[1]Inputs for private sector'!$A$358:$T$408,20,),0)))-1</f>
        <v>7.835632499939571E-4</v>
      </c>
      <c r="C3" s="1">
        <f>(1661.92453495475/(VLOOKUP(A3,'[1]Aviation&amp;Boating'!$C$4:$I$62,7,FALSE)))-1</f>
        <v>0</v>
      </c>
      <c r="D3" s="1">
        <f>(1002.72335958503/(VLOOKUP(A3,'[1]Ind&amp;Com&amp;Con Estimates'!$A$6:$S$57,19,FALSE)))-1</f>
        <v>2.3096084156293273E-8</v>
      </c>
      <c r="E3" s="1">
        <f>(388.913708599921/(VLOOKUP(A3,'[1]Ind&amp;Com&amp;Con Estimates'!$A$6:$S$56,18,FALSE)))-1</f>
        <v>2.3063853937799195E-8</v>
      </c>
      <c r="F3" s="1">
        <f>(8890.04165825281/(VLOOKUP(A3,'[1]Aviation&amp;Boating'!$A$68:$E$118,5,)))-1</f>
        <v>6.7922822921673287E-10</v>
      </c>
      <c r="G3" s="1">
        <f>(1719.38560354333/(VLOOKUP(A3,'[1]Inputs for public use'!$B$85:$U$136,20,)))-1</f>
        <v>9.3283683664235895E-6</v>
      </c>
      <c r="H3" s="1">
        <f>(12978.3653672013/(VLOOKUP(A3,'[1]Inputs for public use'!$B$85:$AB$135,26,)))-1</f>
        <v>4.6501421471001336E-5</v>
      </c>
      <c r="I3" s="1">
        <f>(674.449031285233/(VLOOKUP(A3,'[1]Inputs for public use'!$B$85:$AB$135,25, )))-1</f>
        <v>-8.9398137333596139E-4</v>
      </c>
    </row>
    <row r="4" spans="1:12" x14ac:dyDescent="0.25">
      <c r="A4" t="s">
        <v>11</v>
      </c>
      <c r="B4" s="1">
        <f>(1355.60455799501/(IFERROR(VLOOKUP(A4,'[1]Inputs for private sector'!$A$358:$T$408,20,),0)))-1</f>
        <v>9.1825666532940886E-4</v>
      </c>
      <c r="C4" s="1">
        <f>(6039/(VLOOKUP(A4,'[1]Aviation&amp;Boating'!$C$4:$I$62,7,FALSE)))-1</f>
        <v>0</v>
      </c>
      <c r="D4" s="1">
        <f>(38019.455173303/(VLOOKUP(A4,'[1]Ind&amp;Com&amp;Con Estimates'!$A$6:$S$57,19,FALSE)))-1</f>
        <v>-9.4541505735179499E-9</v>
      </c>
      <c r="E4" s="1">
        <f>(11910.9535787924/(VLOOKUP(A4,'[1]Ind&amp;Com&amp;Con Estimates'!$A$6:$S$56,18,FALSE)))-1</f>
        <v>-7.1861401274020409E-9</v>
      </c>
      <c r="F4" s="1">
        <f>(15896.2290168012/(VLOOKUP(A4,'[1]Aviation&amp;Boating'!$A$68:$E$118,5,)))-1</f>
        <v>-5.5282778355092432E-11</v>
      </c>
      <c r="G4" s="1">
        <f>(7465.43461263217/(VLOOKUP(A4,'[1]Inputs for public use'!$B$85:$U$136,20,)))-1</f>
        <v>8.4258441839235587E-6</v>
      </c>
      <c r="H4" s="1">
        <f>(35269.3177278432/(VLOOKUP(A4,'[1]Inputs for public use'!$B$85:$AB$135,26,)))-1</f>
        <v>-1.4122658568593849E-5</v>
      </c>
      <c r="I4" s="1">
        <f>(1840.65462889417/(VLOOKUP(A4,'[1]Inputs for public use'!$B$85:$AB$135,25, )))-1</f>
        <v>2.7068543349484386E-4</v>
      </c>
    </row>
    <row r="5" spans="1:12" x14ac:dyDescent="0.25">
      <c r="A5" t="s">
        <v>12</v>
      </c>
      <c r="B5" s="1">
        <f>(5006.70230684962/(IFERROR(VLOOKUP(A5,'[1]Inputs for private sector'!$A$358:$T$408,20,),0)))-1</f>
        <v>-3.1666496091986573E-9</v>
      </c>
      <c r="C5" s="1">
        <f>(1939.8/(VLOOKUP(A5,'[1]Aviation&amp;Boating'!$C$4:$I$62,7,FALSE)))-1</f>
        <v>0</v>
      </c>
      <c r="D5" s="1">
        <f>(9645.66148639166/(VLOOKUP(A5,'[1]Ind&amp;Com&amp;Con Estimates'!$A$6:$S$57,19,FALSE)))-1</f>
        <v>-1.6402000868609434E-9</v>
      </c>
      <c r="E5" s="1">
        <f>(6489.35171751057/(VLOOKUP(A5,'[1]Ind&amp;Com&amp;Con Estimates'!$A$6:$S$56,18,FALSE)))-1</f>
        <v>6.5872209908945933E-9</v>
      </c>
      <c r="F5" s="1">
        <f>(42890.3970609615/(VLOOKUP(A5,'[1]Aviation&amp;Boating'!$A$68:$E$118,5,)))-1</f>
        <v>1.4467826936481742E-10</v>
      </c>
      <c r="G5" s="1">
        <f>(1773.76561685671/(VLOOKUP(A5,'[1]Inputs for public use'!$B$85:$U$136,20,)))-1</f>
        <v>8.3556849828081425E-6</v>
      </c>
      <c r="H5" s="1">
        <f>(20862.8179487946/(VLOOKUP(A5,'[1]Inputs for public use'!$B$85:$AB$135,26,)))-1</f>
        <v>3.6891507689595926E-5</v>
      </c>
      <c r="I5" s="1">
        <f>(1093.42068390862/(VLOOKUP(A5,'[1]Inputs for public use'!$B$85:$AB$135,25, )))-1</f>
        <v>-7.0338075965237223E-4</v>
      </c>
    </row>
    <row r="6" spans="1:12" x14ac:dyDescent="0.25">
      <c r="A6" t="s">
        <v>13</v>
      </c>
      <c r="B6" s="1">
        <f>(7112.94336579654/(IFERROR(VLOOKUP(A6,'[1]Inputs for private sector'!$A$358:$T$408,20,),0)))-1</f>
        <v>-4.0598824302406911E-10</v>
      </c>
      <c r="C6" s="1">
        <f>(27084/(VLOOKUP(A6,'[1]Aviation&amp;Boating'!$C$4:$I$62,7,FALSE)))-1</f>
        <v>0</v>
      </c>
      <c r="D6" s="1">
        <f>(33715.3822747494/(VLOOKUP(A6,'[1]Ind&amp;Com&amp;Con Estimates'!$A$6:$S$57,19,FALSE)))-1</f>
        <v>-3.5942370080199737E-8</v>
      </c>
      <c r="E6" s="1">
        <f>(25402.0175753907/(VLOOKUP(A6,'[1]Ind&amp;Com&amp;Con Estimates'!$A$6:$S$56,18,FALSE)))-1</f>
        <v>-2.8923404449265888E-8</v>
      </c>
      <c r="F6" s="1">
        <f>(91583.3535381227/(VLOOKUP(A6,'[1]Aviation&amp;Boating'!$A$68:$E$118,5,)))-1</f>
        <v>-5.5978077728724429E-10</v>
      </c>
      <c r="G6" s="1">
        <f>(27185.756836536/(VLOOKUP(A6,'[1]Inputs for public use'!$B$85:$U$136,20,)))-1</f>
        <v>8.1630584778391579E-6</v>
      </c>
      <c r="H6" s="1">
        <f>(362672.321301114/(VLOOKUP(A6,'[1]Inputs for public use'!$B$85:$AB$135,26,)))-1</f>
        <v>2.2202838882989795E-6</v>
      </c>
      <c r="I6" s="1">
        <f>(18927.3433675665/(VLOOKUP(A6,'[1]Inputs for public use'!$B$85:$AB$135,25, )))-1</f>
        <v>-4.2541599855283607E-5</v>
      </c>
    </row>
    <row r="7" spans="1:12" x14ac:dyDescent="0.25">
      <c r="A7" t="s">
        <v>14</v>
      </c>
      <c r="B7" s="1">
        <f>(2191.95940065591/(IFERROR(VLOOKUP(A7,'[1]Inputs for private sector'!$A$358:$T$408,20,),0)))-1</f>
        <v>5.4740955979148964E-4</v>
      </c>
      <c r="C7" s="1">
        <f>(3403.8/(VLOOKUP(A7,'[1]Aviation&amp;Boating'!$C$4:$I$62,7,FALSE)))-1</f>
        <v>0</v>
      </c>
      <c r="D7" s="1">
        <f>(11820.7395436481/(VLOOKUP(A7,'[1]Ind&amp;Com&amp;Con Estimates'!$A$6:$S$57,19,FALSE)))-1</f>
        <v>2.5514645729529661E-8</v>
      </c>
      <c r="E7" s="1">
        <f>(11324.530262833/(VLOOKUP(A7,'[1]Ind&amp;Com&amp;Con Estimates'!$A$6:$S$56,18,FALSE)))-1</f>
        <v>2.8558839737513608E-8</v>
      </c>
      <c r="F7" s="1">
        <f>(8351.09952237623/(VLOOKUP(A7,'[1]Aviation&amp;Boating'!$A$68:$E$118,5,)))-1</f>
        <v>-7.2256844951823496E-10</v>
      </c>
      <c r="G7" s="1">
        <f>(4885.90896380889/(VLOOKUP(A7,'[1]Inputs for public use'!$B$85:$U$136,20,)))-1</f>
        <v>8.7866847637840806E-6</v>
      </c>
      <c r="H7" s="1">
        <f>(36012.2512776958/(VLOOKUP(A7,'[1]Inputs for public use'!$B$85:$AB$135,26,)))-1</f>
        <v>-2.5074572236549741E-5</v>
      </c>
      <c r="I7" s="1">
        <f>(1891.3917890296/(VLOOKUP(A7,'[1]Inputs for public use'!$B$85:$AB$135,25, )))-1</f>
        <v>4.7766188878206606E-4</v>
      </c>
    </row>
    <row r="8" spans="1:12" x14ac:dyDescent="0.25">
      <c r="A8" t="s">
        <v>15</v>
      </c>
      <c r="B8" s="1">
        <f>(44.1975716639386/(IFERROR(VLOOKUP(A8,'[1]Inputs for private sector'!$A$358:$T$408,20,),0)))-1</f>
        <v>2.3662506859101207E-4</v>
      </c>
      <c r="C8" s="1">
        <f>(805.2/(VLOOKUP(A8,'[1]Aviation&amp;Boating'!$C$4:$I$62,7,FALSE)))-1</f>
        <v>0</v>
      </c>
      <c r="D8" s="1">
        <f>(466.243994980667/(VLOOKUP(A8,'[1]Ind&amp;Com&amp;Con Estimates'!$A$6:$S$57,19,FALSE)))-1</f>
        <v>-3.7610785819097714E-8</v>
      </c>
      <c r="E8" s="1">
        <f>(314.435967244867/(VLOOKUP(A8,'[1]Ind&amp;Com&amp;Con Estimates'!$A$6:$S$56,18,FALSE)))-1</f>
        <v>-3.8600366236707373E-8</v>
      </c>
      <c r="F8" s="1">
        <f>(17985.3629549931/(VLOOKUP(A8,'[1]Aviation&amp;Boating'!$A$68:$E$118,5,)))-1</f>
        <v>-3.0842439713296699E-10</v>
      </c>
      <c r="G8" s="1">
        <f>(2009.79937324525/(VLOOKUP(A8,'[1]Inputs for public use'!$B$85:$U$136,20,)))-1</f>
        <v>8.2908811813720007E-6</v>
      </c>
      <c r="H8" s="1">
        <f>(610.090474789603/(VLOOKUP(A8,'[1]Inputs for public use'!$B$85:$AB$135,26,)))-1</f>
        <v>-1.8072538439994901E-5</v>
      </c>
      <c r="I8" s="1">
        <f>(31.8397385832958/(VLOOKUP(A8,'[1]Inputs for public use'!$B$85:$AB$135,25, )))-1</f>
        <v>3.4641937923574062E-4</v>
      </c>
    </row>
    <row r="9" spans="1:12" x14ac:dyDescent="0.25">
      <c r="A9" t="s">
        <v>16</v>
      </c>
      <c r="B9" s="1">
        <f>(129.77174895187/(IFERROR(VLOOKUP(A9,'[1]Inputs for private sector'!$A$358:$T$408,20,),0)))-1</f>
        <v>1.3569607503383097E-4</v>
      </c>
      <c r="C9" s="1">
        <f>(329.4/(VLOOKUP(A9,'[1]Aviation&amp;Boating'!$C$4:$I$62,7,FALSE)))-1</f>
        <v>0</v>
      </c>
      <c r="D9" s="1">
        <f>(1631.56239132175/(VLOOKUP(A9,'[1]Ind&amp;Com&amp;Con Estimates'!$A$6:$S$57,19,FALSE)))-1</f>
        <v>-3.2814796435687299E-9</v>
      </c>
      <c r="E9" s="1">
        <f>(783.63685345339/(VLOOKUP(A9,'[1]Ind&amp;Com&amp;Con Estimates'!$A$6:$S$56,18,FALSE)))-1</f>
        <v>-1.6406708547300752E-8</v>
      </c>
      <c r="F9" s="1">
        <f>(19398.5673609419/(VLOOKUP(A9,'[1]Aviation&amp;Boating'!$A$68:$E$118,5,)))-1</f>
        <v>-8.4097173669306358E-11</v>
      </c>
      <c r="G9" s="1">
        <f>(550.535934327662/(VLOOKUP(A9,'[1]Inputs for public use'!$B$85:$U$136,20,)))-1</f>
        <v>8.6559780785311347E-6</v>
      </c>
      <c r="H9" s="1">
        <f>(2647.99093272383/(VLOOKUP(A9,'[1]Inputs for public use'!$B$85:$AB$135,26,)))-1</f>
        <v>3.6491717983144767E-5</v>
      </c>
      <c r="I9" s="1">
        <f>(115.514528269522/(VLOOKUP(A9,'[1]Inputs for public use'!$B$85:$AB$135,25, )))-1</f>
        <v>-8.3578624153479719E-4</v>
      </c>
    </row>
    <row r="10" spans="1:12" x14ac:dyDescent="0.25">
      <c r="A10" t="s">
        <v>17</v>
      </c>
      <c r="B10" s="1">
        <v>0</v>
      </c>
      <c r="C10" s="1">
        <v>0</v>
      </c>
      <c r="D10" s="1">
        <f>(121.284784971716/(VLOOKUP(A10,'[1]Ind&amp;Com&amp;Con Estimates'!$A$6:$S$57,19,FALSE)))-1</f>
        <v>-2.5369734091285068E-9</v>
      </c>
      <c r="E10" s="1">
        <f>(30.0981381246461/(VLOOKUP(A10,'[1]Ind&amp;Com&amp;Con Estimates'!$A$6:$S$56,18,FALSE)))-1</f>
        <v>-5.7313842560802186E-10</v>
      </c>
      <c r="F10" s="1">
        <f>(454.101555011693/(VLOOKUP(A10,'[1]Aviation&amp;Boating'!$A$68:$E$118,5,)))-1</f>
        <v>8.2013507096689864E-11</v>
      </c>
      <c r="G10" s="1">
        <f>(4676.29788247739/(VLOOKUP(A10,'[1]Inputs for public use'!$B$85:$U$136,20,)))-1</f>
        <v>5.9391211393311494E-6</v>
      </c>
      <c r="H10" s="1">
        <f>(17098.0037552849/(VLOOKUP(A10,'[1]Inputs for public use'!$B$85:$AB$135,26,)))-1</f>
        <v>4.0674607262314311E-5</v>
      </c>
      <c r="I10" s="1">
        <f>(760.78437432122/(VLOOKUP(A10,'[1]Inputs for public use'!$B$85:$AB$135,25, )))-1</f>
        <v>-9.1325640015504916E-4</v>
      </c>
    </row>
    <row r="11" spans="1:12" x14ac:dyDescent="0.25">
      <c r="A11" t="s">
        <v>19</v>
      </c>
      <c r="B11" s="1">
        <f>(743.797968317664/(IFERROR(VLOOKUP(A11,'[1]Inputs for private sector'!$A$358:$T$408,20,),0)))-1</f>
        <v>3.8298273441483843E-9</v>
      </c>
      <c r="C11" s="1">
        <f>(18922.2/(VLOOKUP(A11,'[1]Aviation&amp;Boating'!$C$4:$I$62,7,FALSE)))-1</f>
        <v>0</v>
      </c>
      <c r="D11" s="1">
        <f>(58309.6219380857/(VLOOKUP(A11,'[1]Ind&amp;Com&amp;Con Estimates'!$A$6:$S$57,19,FALSE)))-1</f>
        <v>2.4910510321163315E-8</v>
      </c>
      <c r="E11" s="1">
        <f>(32711.3301915613/(VLOOKUP(A11,'[1]Ind&amp;Com&amp;Con Estimates'!$A$6:$S$56,18,FALSE)))-1</f>
        <v>2.4245033758418799E-8</v>
      </c>
      <c r="F11" s="1">
        <f>(325815.297447279/(VLOOKUP(A11,'[1]Aviation&amp;Boating'!$A$68:$E$118,5,)))-1</f>
        <v>6.8038730205444153E-10</v>
      </c>
      <c r="G11" s="1">
        <f>(12326.2314786043/(VLOOKUP(A11,'[1]Inputs for public use'!$B$85:$U$136,20,)))-1</f>
        <v>7.8204578686236204E-6</v>
      </c>
      <c r="H11" s="1">
        <f>(179191.11217232/(VLOOKUP(A11,'[1]Inputs for public use'!$B$85:$AB$135,26,)))-1</f>
        <v>4.2194418481633633E-5</v>
      </c>
      <c r="I11" s="1">
        <f>(8502.52161035517/(VLOOKUP(A11,'[1]Inputs for public use'!$B$85:$AB$135,25, )))-1</f>
        <v>-8.8842218246398819E-4</v>
      </c>
      <c r="L11">
        <v>1</v>
      </c>
    </row>
    <row r="12" spans="1:12" x14ac:dyDescent="0.25">
      <c r="A12" t="s">
        <v>20</v>
      </c>
      <c r="B12" s="1">
        <f>(977.287702791415/(IFERROR(VLOOKUP(A12,'[1]Inputs for private sector'!$A$358:$T$408,20,),0)))-1</f>
        <v>-7.8744422093990352E-10</v>
      </c>
      <c r="C12" s="1">
        <f>(4831.2/(VLOOKUP(A12,'[1]Aviation&amp;Boating'!$C$4:$I$62,7,FALSE)))-1</f>
        <v>0</v>
      </c>
      <c r="D12" s="1">
        <f>(4184.23046352011/(VLOOKUP(A12,'[1]Ind&amp;Com&amp;Con Estimates'!$A$6:$S$57,19,FALSE)))-1</f>
        <v>1.3518510866283862E-7</v>
      </c>
      <c r="E12" s="1">
        <f>(2438.56719971794/(VLOOKUP(A12,'[1]Ind&amp;Com&amp;Con Estimates'!$A$6:$S$56,18,FALSE)))-1</f>
        <v>1.2952885963812832E-7</v>
      </c>
      <c r="F12" s="1">
        <f>(74510.9283939141/(VLOOKUP(A12,'[1]Aviation&amp;Boating'!$A$68:$E$118,5,)))-1</f>
        <v>-7.697461557043539E-10</v>
      </c>
      <c r="G12" s="1">
        <f>(6839.90621894898/(VLOOKUP(A12,'[1]Inputs for public use'!$B$85:$U$136,20,)))-1</f>
        <v>7.6495475738180829E-6</v>
      </c>
      <c r="H12" s="1">
        <f>(97585.7520313976/(VLOOKUP(A12,'[1]Inputs for public use'!$B$85:$AB$135,26,)))-1</f>
        <v>-1.2261590237483411E-5</v>
      </c>
      <c r="I12" s="1">
        <f>(5092.85911274971/(VLOOKUP(A12,'[1]Inputs for public use'!$B$85:$AB$135,25, )))-1</f>
        <v>2.3500598606895906E-4</v>
      </c>
    </row>
    <row r="13" spans="1:12" x14ac:dyDescent="0.25">
      <c r="A13" t="s">
        <v>21</v>
      </c>
      <c r="B13" s="1">
        <f>(115.556538755187/(IFERROR(VLOOKUP(A13,'[1]Inputs for private sector'!$A$358:$T$408,20,),0)))-1</f>
        <v>8.2938648730923603E-4</v>
      </c>
      <c r="C13" s="1">
        <f>(362.916049642104/(VLOOKUP(A13,'[1]Aviation&amp;Boating'!$C$4:$I$62,7,FALSE)))-1</f>
        <v>0</v>
      </c>
      <c r="D13" s="1">
        <f>(3939.88678018521/(VLOOKUP(A13,'[1]Ind&amp;Com&amp;Con Estimates'!$A$6:$S$57,19,FALSE)))-1</f>
        <v>1.2638636137651815E-8</v>
      </c>
      <c r="E13" s="1">
        <f>(2453.89701585457/(VLOOKUP(A13,'[1]Ind&amp;Com&amp;Con Estimates'!$A$6:$S$56,18,FALSE)))-1</f>
        <v>1.451784359396413E-8</v>
      </c>
      <c r="F13" s="1">
        <f>(1098.44635242609/(VLOOKUP(A13,'[1]Aviation&amp;Boating'!$A$68:$E$118,5,)))-1</f>
        <v>5.4257731640916518E-10</v>
      </c>
      <c r="G13" s="1">
        <f>(2456.12607592007/(VLOOKUP(A13,'[1]Inputs for public use'!$B$85:$U$136,20,)))-1</f>
        <v>8.2356754016466027E-6</v>
      </c>
      <c r="H13" s="1">
        <f>(13356.1408814509/(VLOOKUP(A13,'[1]Inputs for public use'!$B$85:$AB$135,26,)))-1</f>
        <v>-2.7033831869638369E-5</v>
      </c>
      <c r="I13" s="1">
        <f>(699.9955966073/(VLOOKUP(A13,'[1]Inputs for public use'!$B$85:$AB$135,25, )))-1</f>
        <v>5.1609435840749285E-4</v>
      </c>
    </row>
    <row r="14" spans="1:12" x14ac:dyDescent="0.25">
      <c r="A14" t="s">
        <v>22</v>
      </c>
      <c r="B14" s="1">
        <f>(2387.4881099726/(IFERROR(VLOOKUP(A14,'[1]Inputs for private sector'!$A$358:$T$408,20,),0)))-1</f>
        <v>5.9864448394653103E-4</v>
      </c>
      <c r="C14" s="1">
        <f>(1793.4/(VLOOKUP(A14,'[1]Aviation&amp;Boating'!$C$4:$I$62,7,FALSE)))-1</f>
        <v>0</v>
      </c>
      <c r="D14" s="1">
        <f>(9348.22190349647/(VLOOKUP(A14,'[1]Ind&amp;Com&amp;Con Estimates'!$A$6:$S$57,19,FALSE)))-1</f>
        <v>-2.0622456520236199E-8</v>
      </c>
      <c r="E14" s="1">
        <f>(5050.78349246136/(VLOOKUP(A14,'[1]Ind&amp;Com&amp;Con Estimates'!$A$6:$S$56,18,FALSE)))-1</f>
        <v>-7.0046599631723439E-9</v>
      </c>
      <c r="F14" s="1">
        <f>(8723.3919190803/(VLOOKUP(A14,'[1]Aviation&amp;Boating'!$A$68:$E$118,5,)))-1</f>
        <v>4.4778269980838559E-10</v>
      </c>
      <c r="G14" s="1">
        <f>(2226.6043571699/(VLOOKUP(A14,'[1]Inputs for public use'!$B$85:$U$136,20,)))-1</f>
        <v>9.1246050639703924E-6</v>
      </c>
      <c r="H14" s="1">
        <f>(4099.94697455384/(VLOOKUP(A14,'[1]Inputs for public use'!$B$85:$AB$135,26,)))-1</f>
        <v>1.5646599702545672E-5</v>
      </c>
      <c r="I14" s="1">
        <f>(214.878298603222/(VLOOKUP(A14,'[1]Inputs for public use'!$B$85:$AB$135,25, )))-1</f>
        <v>-2.9844838022541342E-4</v>
      </c>
    </row>
    <row r="15" spans="1:12" x14ac:dyDescent="0.25">
      <c r="A15" t="s">
        <v>23</v>
      </c>
      <c r="B15" s="1">
        <f>(6617.53324964847/(IFERROR(VLOOKUP(A15,'[1]Inputs for private sector'!$A$358:$T$408,20,),0)))-1</f>
        <v>-7.1219197206318086E-10</v>
      </c>
      <c r="C15" s="1">
        <f>(3184.2/(VLOOKUP(A15,'[1]Aviation&amp;Boating'!$C$4:$I$62,7,FALSE)))-1</f>
        <v>0</v>
      </c>
      <c r="D15" s="1">
        <f>(7121.17420560857/(VLOOKUP(A15,'[1]Ind&amp;Com&amp;Con Estimates'!$A$6:$S$57,19,FALSE)))-1</f>
        <v>-4.0274761303749074E-8</v>
      </c>
      <c r="E15" s="1">
        <f>(4718.96133996788/(VLOOKUP(A15,'[1]Ind&amp;Com&amp;Con Estimates'!$A$6:$S$56,18,FALSE)))-1</f>
        <v>-4.2190338889191992E-8</v>
      </c>
      <c r="F15" s="1">
        <f>(41788.5524247725/(VLOOKUP(A15,'[1]Aviation&amp;Boating'!$A$68:$E$118,5,)))-1</f>
        <v>2.0989410209892867E-10</v>
      </c>
      <c r="G15" s="1">
        <f>(6882.96480812385/(VLOOKUP(A15,'[1]Inputs for public use'!$B$85:$U$136,20,)))-1</f>
        <v>8.0656346885810137E-6</v>
      </c>
      <c r="H15" s="1">
        <f>(47931.7158695043/(VLOOKUP(A15,'[1]Inputs for public use'!$B$85:$AB$135,26,)))-1</f>
        <v>1.8441327166662802E-5</v>
      </c>
      <c r="I15" s="1">
        <f>(2501.48685514248/(VLOOKUP(A15,'[1]Inputs for public use'!$B$85:$AB$135,25, )))-1</f>
        <v>-3.5322829315131976E-4</v>
      </c>
    </row>
    <row r="16" spans="1:12" x14ac:dyDescent="0.25">
      <c r="A16" t="s">
        <v>24</v>
      </c>
      <c r="B16" s="1">
        <f>(4606.57481157986/(IFERROR(VLOOKUP(A16,'[1]Inputs for private sector'!$A$358:$T$408,20,),0)))-1</f>
        <v>8.3208107071186532E-10</v>
      </c>
      <c r="C16" s="1">
        <f>(2598.6/(VLOOKUP(A16,'[1]Aviation&amp;Boating'!$C$4:$I$62,7,FALSE)))-1</f>
        <v>0</v>
      </c>
      <c r="D16" s="1">
        <f>(7092.04453711051/(VLOOKUP(A16,'[1]Ind&amp;Com&amp;Con Estimates'!$A$6:$S$57,19,FALSE)))-1</f>
        <v>2.2641477581686331E-8</v>
      </c>
      <c r="E16" s="1">
        <f>(3847.47795825404/(VLOOKUP(A16,'[1]Ind&amp;Com&amp;Con Estimates'!$A$6:$S$56,18,FALSE)))-1</f>
        <v>2.6249454609938994E-8</v>
      </c>
      <c r="F16" s="1">
        <f>(27265.1445576712/(VLOOKUP(A16,'[1]Aviation&amp;Boating'!$A$68:$E$118,5,)))-1</f>
        <v>-1.8809065416292015E-11</v>
      </c>
      <c r="G16" s="1">
        <f>(3319.64329759152/(VLOOKUP(A16,'[1]Inputs for public use'!$B$85:$U$136,20,)))-1</f>
        <v>8.0226979310982216E-6</v>
      </c>
      <c r="H16" s="1">
        <f>(16759.4959755033/(VLOOKUP(A16,'[1]Inputs for public use'!$B$85:$AB$135,26,)))-1</f>
        <v>1.1009865273692299E-5</v>
      </c>
      <c r="I16" s="1">
        <f>(878.365501557632/(VLOOKUP(A16,'[1]Inputs for public use'!$B$85:$AB$135,25, )))-1</f>
        <v>-2.1002533393521539E-4</v>
      </c>
    </row>
    <row r="17" spans="1:9" x14ac:dyDescent="0.25">
      <c r="A17" t="s">
        <v>25</v>
      </c>
      <c r="B17" s="1">
        <f>(8358.39962577361/(IFERROR(VLOOKUP(A17,'[1]Inputs for private sector'!$A$358:$T$408,20,),0)))-1</f>
        <v>-2.2029189583605557E-9</v>
      </c>
      <c r="C17" s="1">
        <f>(1610.4/(VLOOKUP(A17,'[1]Aviation&amp;Boating'!$C$4:$I$62,7,FALSE)))-1</f>
        <v>0</v>
      </c>
      <c r="D17" s="1">
        <f>(2834.15899978436/(VLOOKUP(A17,'[1]Ind&amp;Com&amp;Con Estimates'!$A$6:$S$57,19,FALSE)))-1</f>
        <v>1.0677547290782741E-8</v>
      </c>
      <c r="E17" s="1">
        <f>(2094.95431619482/(VLOOKUP(A17,'[1]Ind&amp;Com&amp;Con Estimates'!$A$6:$S$56,18,FALSE)))-1</f>
        <v>7.622405817642175E-9</v>
      </c>
      <c r="F17" s="1">
        <f>(16045.0723759461/(VLOOKUP(A17,'[1]Aviation&amp;Boating'!$A$68:$E$118,5,)))-1</f>
        <v>-1.7160260989967924E-9</v>
      </c>
      <c r="G17" s="1">
        <f>(1625.5083698021/(VLOOKUP(A17,'[1]Inputs for public use'!$B$85:$U$136,20,)))-1</f>
        <v>8.2840782362758603E-6</v>
      </c>
      <c r="H17" s="1">
        <f>(23413.7576302696/(VLOOKUP(A17,'[1]Inputs for public use'!$B$85:$AB$135,26,)))-1</f>
        <v>1.0456130499436611E-5</v>
      </c>
      <c r="I17" s="1">
        <f>(1227.11548093815/(VLOOKUP(A17,'[1]Inputs for public use'!$B$85:$AB$135,25, )))-1</f>
        <v>-1.9946444927809726E-4</v>
      </c>
    </row>
    <row r="18" spans="1:9" x14ac:dyDescent="0.25">
      <c r="A18" t="s">
        <v>26</v>
      </c>
      <c r="B18" s="1">
        <f>(8852.93424619787/(IFERROR(VLOOKUP(A18,'[1]Inputs for private sector'!$A$358:$T$408,20,),0)))-1</f>
        <v>-7.891188813502481E-10</v>
      </c>
      <c r="C18" s="1">
        <f>(2379/(VLOOKUP(A18,'[1]Aviation&amp;Boating'!$C$4:$I$62,7,FALSE)))-1</f>
        <v>0</v>
      </c>
      <c r="D18" s="1">
        <f>(10735.0003640755/(VLOOKUP(A18,'[1]Ind&amp;Com&amp;Con Estimates'!$A$6:$S$57,19,FALSE)))-1</f>
        <v>-1.457666043425121E-8</v>
      </c>
      <c r="E18" s="1">
        <f>(4004.97530389629/(VLOOKUP(A18,'[1]Ind&amp;Com&amp;Con Estimates'!$A$6:$S$56,18,FALSE)))-1</f>
        <v>-1.3898226791653201E-8</v>
      </c>
      <c r="F18" s="1">
        <f>(7134.07320495352/(VLOOKUP(A18,'[1]Aviation&amp;Boating'!$A$68:$E$118,5,)))-1</f>
        <v>-8.1460738154959245E-10</v>
      </c>
      <c r="G18" s="1">
        <f>(1933.61174982057/(VLOOKUP(A18,'[1]Inputs for public use'!$B$85:$U$136,20,)))-1</f>
        <v>8.1056328364859098E-6</v>
      </c>
      <c r="H18" s="1">
        <f>(7602.63384573039/(VLOOKUP(A18,'[1]Inputs for public use'!$B$85:$AB$135,26,)))-1</f>
        <v>5.1958800513673964E-5</v>
      </c>
      <c r="I18" s="1">
        <f>(398.454183874314/(VLOOKUP(A18,'[1]Inputs for public use'!$B$85:$AB$135,25, )))-1</f>
        <v>-9.9035731867758159E-4</v>
      </c>
    </row>
    <row r="19" spans="1:9" x14ac:dyDescent="0.25">
      <c r="A19" t="s">
        <v>27</v>
      </c>
      <c r="B19" s="1">
        <f>(1592.26552574382/(IFERROR(VLOOKUP(A19,'[1]Inputs for private sector'!$A$358:$T$408,20,),0)))-1</f>
        <v>2.0291678306771921E-4</v>
      </c>
      <c r="C19" s="1">
        <f>(1244.4/(VLOOKUP(A19,'[1]Aviation&amp;Boating'!$C$4:$I$62,7,FALSE)))-1</f>
        <v>0</v>
      </c>
      <c r="D19" s="1">
        <f>(3509.70192297369/(VLOOKUP(A19,'[1]Ind&amp;Com&amp;Con Estimates'!$A$6:$S$57,19,FALSE)))-1</f>
        <v>-9.8282385008197082E-8</v>
      </c>
      <c r="E19" s="1">
        <f>(1528.61660740471/(VLOOKUP(A19,'[1]Ind&amp;Com&amp;Con Estimates'!$A$6:$S$56,18,FALSE)))-1</f>
        <v>-1.0528831850820097E-7</v>
      </c>
      <c r="F19" s="1">
        <f>(37230.4143031977/(VLOOKUP(A19,'[1]Aviation&amp;Boating'!$A$68:$E$118,5,)))-1</f>
        <v>-1.0046418141840263E-9</v>
      </c>
      <c r="G19" s="1">
        <f>(2851.70077391398/(VLOOKUP(A19,'[1]Inputs for public use'!$B$85:$U$136,20,)))-1</f>
        <v>7.5832005450582329E-6</v>
      </c>
      <c r="H19" s="1">
        <f>(54484.0102685382/(VLOOKUP(A19,'[1]Inputs for public use'!$B$85:$AB$135,26,)))-1</f>
        <v>2.1703068102008061E-5</v>
      </c>
      <c r="I19" s="1">
        <f>(2843.44161334122/(VLOOKUP(A19,'[1]Inputs for public use'!$B$85:$AB$135,25, )))-1</f>
        <v>-4.1567690444621608E-4</v>
      </c>
    </row>
    <row r="20" spans="1:9" x14ac:dyDescent="0.25">
      <c r="A20" t="s">
        <v>28</v>
      </c>
      <c r="B20" s="1">
        <f>(2839.01407648891/(IFERROR(VLOOKUP(A20,'[1]Inputs for private sector'!$A$358:$T$408,20,),0)))-1</f>
        <v>7.9777620880450151E-4</v>
      </c>
      <c r="C20" s="1">
        <f>(2525.4/(VLOOKUP(A20,'[1]Aviation&amp;Boating'!$C$4:$I$62,7,FALSE)))-1</f>
        <v>0</v>
      </c>
      <c r="D20" s="1">
        <f>(4887.53286033761/(VLOOKUP(A20,'[1]Ind&amp;Com&amp;Con Estimates'!$A$6:$S$57,19,FALSE)))-1</f>
        <v>-1.5227535676842763E-8</v>
      </c>
      <c r="E20" s="1">
        <f>(3705.69716851308/(VLOOKUP(A20,'[1]Ind&amp;Com&amp;Con Estimates'!$A$6:$S$56,18,FALSE)))-1</f>
        <v>-9.2386553962597873E-9</v>
      </c>
      <c r="F20" s="1">
        <f>(78556.4309856585/(VLOOKUP(A20,'[1]Aviation&amp;Boating'!$A$68:$E$118,5,)))-1</f>
        <v>-8.5585227793671947E-10</v>
      </c>
      <c r="G20" s="1">
        <f>(3318.11455093641/(VLOOKUP(A20,'[1]Inputs for public use'!$B$85:$U$136,20,)))-1</f>
        <v>7.8411598884997602E-6</v>
      </c>
      <c r="H20" s="1">
        <f>(54457.3354261798/(VLOOKUP(A20,'[1]Inputs for public use'!$B$85:$AB$135,26,)))-1</f>
        <v>2.0822499077866041E-5</v>
      </c>
      <c r="I20" s="1">
        <f>(3084.2277882959/(VLOOKUP(A20,'[1]Inputs for public use'!$B$85:$AB$135,25, )))-1</f>
        <v>-3.6751418962388538E-4</v>
      </c>
    </row>
    <row r="21" spans="1:9" x14ac:dyDescent="0.25">
      <c r="A21" t="s">
        <v>29</v>
      </c>
      <c r="B21" s="1">
        <f>(112.494536785622/(IFERROR(VLOOKUP(A21,'[1]Inputs for private sector'!$A$358:$T$408,20,),0)))-1</f>
        <v>8.3203069046966505E-5</v>
      </c>
      <c r="C21" s="1">
        <f>(915/(VLOOKUP(A21,'[1]Aviation&amp;Boating'!$C$4:$I$62,7,FALSE)))-1</f>
        <v>0</v>
      </c>
      <c r="D21" s="1">
        <f>(2933.327106882/(VLOOKUP(A21,'[1]Ind&amp;Com&amp;Con Estimates'!$A$6:$S$57,19,FALSE)))-1</f>
        <v>-5.6684340554724599E-9</v>
      </c>
      <c r="E21" s="1">
        <f>(1113.17358254261/(VLOOKUP(A21,'[1]Ind&amp;Com&amp;Con Estimates'!$A$6:$S$56,18,FALSE)))-1</f>
        <v>1.0194105559691025E-9</v>
      </c>
      <c r="F21" s="1">
        <f>(26108.0145601814/(VLOOKUP(A21,'[1]Aviation&amp;Boating'!$A$68:$E$118,5,)))-1</f>
        <v>1.1581868797350126E-10</v>
      </c>
      <c r="G21" s="1">
        <f>(848.584413430587/(VLOOKUP(A21,'[1]Inputs for public use'!$B$85:$U$136,20,)))-1</f>
        <v>8.5866697154823868E-6</v>
      </c>
      <c r="H21" s="1">
        <f>(10190.1117335096/(VLOOKUP(A21,'[1]Inputs for public use'!$B$85:$AB$135,26,)))-1</f>
        <v>-2.6881837965175848E-5</v>
      </c>
      <c r="I21" s="1">
        <f>(532.935444759999/(VLOOKUP(A21,'[1]Inputs for public use'!$B$85:$AB$135,25, )))-1</f>
        <v>5.1427837758533101E-4</v>
      </c>
    </row>
    <row r="22" spans="1:9" x14ac:dyDescent="0.25">
      <c r="A22" t="s">
        <v>30</v>
      </c>
      <c r="B22" s="1">
        <f>(664.715628513919/(IFERROR(VLOOKUP(A22,'[1]Inputs for private sector'!$A$358:$T$408,20,),0)))-1</f>
        <v>5.6815345985028465E-4</v>
      </c>
      <c r="C22" s="1">
        <f>(1500.6/(VLOOKUP(A22,'[1]Aviation&amp;Boating'!$C$4:$I$62,7,FALSE)))-1</f>
        <v>0</v>
      </c>
      <c r="D22" s="1">
        <f>(2000.7385942444/(VLOOKUP(A22,'[1]Ind&amp;Com&amp;Con Estimates'!$A$6:$S$57,19,FALSE)))-1</f>
        <v>1.3161587442134248E-7</v>
      </c>
      <c r="E22" s="1">
        <f>(1580.26242594961/(VLOOKUP(A22,'[1]Ind&amp;Com&amp;Con Estimates'!$A$6:$S$56,18,FALSE)))-1</f>
        <v>1.2054020714913349E-7</v>
      </c>
      <c r="F22" s="1">
        <f>(31162.6368469131/(VLOOKUP(A22,'[1]Aviation&amp;Boating'!$A$68:$E$118,5,)))-1</f>
        <v>1.0514256132410083E-11</v>
      </c>
      <c r="G22" s="1">
        <f>(6265.71874070283/(VLOOKUP(A22,'[1]Inputs for public use'!$B$85:$U$136,20,)))-1</f>
        <v>7.5401078598602567E-6</v>
      </c>
      <c r="H22" s="1">
        <f>(43945.8885842517/(VLOOKUP(A22,'[1]Inputs for public use'!$B$85:$AB$135,26,)))-1</f>
        <v>-2.7907605656185552E-5</v>
      </c>
      <c r="I22" s="1">
        <f>(2293.47229985152/(VLOOKUP(A22,'[1]Inputs for public use'!$B$85:$AB$135,25, )))-1</f>
        <v>5.3504678002602724E-4</v>
      </c>
    </row>
    <row r="23" spans="1:9" x14ac:dyDescent="0.25">
      <c r="A23" t="s">
        <v>31</v>
      </c>
      <c r="B23" s="1">
        <f>(56.9663730721818/(IFERROR(VLOOKUP(A23,'[1]Inputs for private sector'!$A$358:$T$408,20,),0)))-1</f>
        <v>2.8934809618763602E-4</v>
      </c>
      <c r="C23" s="1">
        <f>(2781.6/(VLOOKUP(A23,'[1]Aviation&amp;Boating'!$C$4:$I$62,7,FALSE)))-1</f>
        <v>0</v>
      </c>
      <c r="D23" s="1">
        <f>(1949.69677907882/(VLOOKUP(A23,'[1]Ind&amp;Com&amp;Con Estimates'!$A$6:$S$57,19,FALSE)))-1</f>
        <v>-8.3432470154853888E-8</v>
      </c>
      <c r="E23" s="1">
        <f>(1515.94504076062/(VLOOKUP(A23,'[1]Ind&amp;Com&amp;Con Estimates'!$A$6:$S$56,18,FALSE)))-1</f>
        <v>-8.4794528509846145E-8</v>
      </c>
      <c r="F23" s="1">
        <f>(27456.965807176/(VLOOKUP(A23,'[1]Aviation&amp;Boating'!$A$68:$E$118,5,)))-1</f>
        <v>-2.8726465650663613E-11</v>
      </c>
      <c r="G23" s="1">
        <f>(3780.91177484903/(VLOOKUP(A23,'[1]Inputs for public use'!$B$85:$U$136,20,)))-1</f>
        <v>8.1804157265885635E-6</v>
      </c>
      <c r="H23" s="1">
        <f>(32091.212472584/(VLOOKUP(A23,'[1]Inputs for public use'!$B$85:$AB$135,26,)))-1</f>
        <v>1.9395773463992683E-5</v>
      </c>
      <c r="I23" s="1">
        <f>(1674.79391691937/(VLOOKUP(A23,'[1]Inputs for public use'!$B$85:$AB$135,25, )))-1</f>
        <v>-3.7150277253650277E-4</v>
      </c>
    </row>
    <row r="24" spans="1:9" x14ac:dyDescent="0.25">
      <c r="A24" t="s">
        <v>32</v>
      </c>
      <c r="B24" s="1">
        <f>(2002.34663462985/(IFERROR(VLOOKUP(A24,'[1]Inputs for private sector'!$A$358:$T$408,20,),0)))-1</f>
        <v>1.182545645397326E-4</v>
      </c>
      <c r="C24" s="1">
        <f>(3001.2/(VLOOKUP(A24,'[1]Aviation&amp;Boating'!$C$4:$I$62,7,FALSE)))-1</f>
        <v>0</v>
      </c>
      <c r="D24" s="1">
        <f>(11313.5639588386/(VLOOKUP(A24,'[1]Ind&amp;Com&amp;Con Estimates'!$A$6:$S$57,19,FALSE)))-1</f>
        <v>3.5515585139478389E-8</v>
      </c>
      <c r="E24" s="1">
        <f>(10878.271861167/(VLOOKUP(A24,'[1]Ind&amp;Com&amp;Con Estimates'!$A$6:$S$56,18,FALSE)))-1</f>
        <v>3.4406010929188824E-8</v>
      </c>
      <c r="F24" s="1">
        <f>(167250.778405193/(VLOOKUP(A24,'[1]Aviation&amp;Boating'!$A$68:$E$118,5,)))-1</f>
        <v>5.3504556341010812E-10</v>
      </c>
      <c r="G24" s="1">
        <f>(5296.92096291595/(VLOOKUP(A24,'[1]Inputs for public use'!$B$85:$U$136,20,)))-1</f>
        <v>8.3137760111817727E-6</v>
      </c>
      <c r="H24" s="1">
        <f>(44917.4411266702/(VLOOKUP(A24,'[1]Inputs for public use'!$B$85:$AB$135,26,)))-1</f>
        <v>3.6993596054468725E-5</v>
      </c>
      <c r="I24" s="1">
        <f>(2339.20393032107/(VLOOKUP(A24,'[1]Inputs for public use'!$B$85:$AB$135,25, )))-1</f>
        <v>-7.0982129711150144E-4</v>
      </c>
    </row>
    <row r="25" spans="1:9" x14ac:dyDescent="0.25">
      <c r="A25" t="s">
        <v>33</v>
      </c>
      <c r="B25" s="1">
        <f>(5645.52134383039/(IFERROR(VLOOKUP(A25,'[1]Inputs for private sector'!$A$358:$T$408,20,),0)))-1</f>
        <v>1.9815171725667824E-10</v>
      </c>
      <c r="C25" s="1">
        <f>(3074.4/(VLOOKUP(A25,'[1]Aviation&amp;Boating'!$C$4:$I$62,7,FALSE)))-1</f>
        <v>0</v>
      </c>
      <c r="D25" s="1">
        <f>(6168.26907190352/(VLOOKUP(A25,'[1]Ind&amp;Com&amp;Con Estimates'!$A$6:$S$57,19,FALSE)))-1</f>
        <v>3.0001658934963871E-9</v>
      </c>
      <c r="E25" s="1">
        <f>(9082.68012604098/(VLOOKUP(A25,'[1]Ind&amp;Com&amp;Con Estimates'!$A$6:$S$56,18,FALSE)))-1</f>
        <v>6.5482408384553992E-9</v>
      </c>
      <c r="F25" s="1">
        <f>(83830.1839089359/(VLOOKUP(A25,'[1]Aviation&amp;Boating'!$A$68:$E$118,5,)))-1</f>
        <v>-4.2886860729396403E-10</v>
      </c>
      <c r="G25" s="1">
        <f>(2969.60330194395/(VLOOKUP(A25,'[1]Inputs for public use'!$B$85:$U$136,20,)))-1</f>
        <v>8.440076240567862E-6</v>
      </c>
      <c r="H25" s="1">
        <f>(29844.8632800855/(VLOOKUP(A25,'[1]Inputs for public use'!$B$85:$AB$135,26,)))-1</f>
        <v>-2.5970869407254682E-5</v>
      </c>
      <c r="I25" s="1">
        <f>(1564.16984987188/(VLOOKUP(A25,'[1]Inputs for public use'!$B$85:$AB$135,25, )))-1</f>
        <v>4.9579108907371605E-4</v>
      </c>
    </row>
    <row r="26" spans="1:9" x14ac:dyDescent="0.25">
      <c r="A26" t="s">
        <v>34</v>
      </c>
      <c r="B26" s="1">
        <f>(5425.07677596602/(IFERROR(VLOOKUP(A26,'[1]Inputs for private sector'!$A$358:$T$408,20,),0)))-1</f>
        <v>9.2429080941003328E-4</v>
      </c>
      <c r="C26" s="1">
        <f>(1720.2/(VLOOKUP(A26,'[1]Aviation&amp;Boating'!$C$4:$I$62,7,FALSE)))-1</f>
        <v>0</v>
      </c>
      <c r="D26" s="1">
        <f>(2213.72950193428/(VLOOKUP(A26,'[1]Ind&amp;Com&amp;Con Estimates'!$A$6:$S$57,19,FALSE)))-1</f>
        <v>-3.8540740932013762E-8</v>
      </c>
      <c r="E26" s="1">
        <f>(2205.326893722/(VLOOKUP(A26,'[1]Ind&amp;Com&amp;Con Estimates'!$A$6:$S$56,18,FALSE)))-1</f>
        <v>-3.3790040543379973E-8</v>
      </c>
      <c r="F26" s="1">
        <f>(31884.064138004/(VLOOKUP(A26,'[1]Aviation&amp;Boating'!$A$68:$E$118,5,)))-1</f>
        <v>-1.1352252471397151E-9</v>
      </c>
      <c r="G26" s="1">
        <f>(2288.49037081806/(VLOOKUP(A26,'[1]Inputs for public use'!$B$85:$U$136,20,)))-1</f>
        <v>7.9584805321442076E-6</v>
      </c>
      <c r="H26" s="1">
        <f>(8927.02262377795/(VLOOKUP(A26,'[1]Inputs for public use'!$B$85:$AB$135,26,)))-1</f>
        <v>-1.6048164290571876E-5</v>
      </c>
      <c r="I26" s="1">
        <f>(468.854256316724/(VLOOKUP(A26,'[1]Inputs for public use'!$B$85:$AB$135,25, )))-1</f>
        <v>3.0565663568249413E-4</v>
      </c>
    </row>
    <row r="27" spans="1:9" x14ac:dyDescent="0.25">
      <c r="A27" t="s">
        <v>35</v>
      </c>
      <c r="B27" s="1">
        <f>(5041.62369215813/(IFERROR(VLOOKUP(A27,'[1]Inputs for private sector'!$A$358:$T$408,20,),0)))-1</f>
        <v>-7.0790939776799178E-10</v>
      </c>
      <c r="C27" s="1">
        <f>(2781.6/(VLOOKUP(A27,'[1]Aviation&amp;Boating'!$C$4:$I$62,7,FALSE)))-1</f>
        <v>0</v>
      </c>
      <c r="D27" s="1">
        <f>(5454.67507591687/(VLOOKUP(A27,'[1]Ind&amp;Com&amp;Con Estimates'!$A$6:$S$57,19,FALSE)))-1</f>
        <v>-9.0978598210611494E-8</v>
      </c>
      <c r="E27" s="1">
        <f>(3946.16315110796/(VLOOKUP(A27,'[1]Ind&amp;Com&amp;Con Estimates'!$A$6:$S$56,18,FALSE)))-1</f>
        <v>-9.1436374916042951E-8</v>
      </c>
      <c r="F27" s="1">
        <f>(64440.1366283014/(VLOOKUP(A27,'[1]Aviation&amp;Boating'!$A$68:$E$118,5,)))-1</f>
        <v>-6.4373617547630602E-11</v>
      </c>
      <c r="G27" s="1">
        <f>(4222.23300746069/(VLOOKUP(A27,'[1]Inputs for public use'!$B$85:$U$136,20,)))-1</f>
        <v>7.8227908069106178E-6</v>
      </c>
      <c r="H27" s="1">
        <f>(25196.4803810041/(VLOOKUP(A27,'[1]Inputs for public use'!$B$85:$AB$135,26,)))-1</f>
        <v>-5.163376902328487E-5</v>
      </c>
      <c r="I27" s="1">
        <f>(1323.33898643522/(VLOOKUP(A27,'[1]Inputs for public use'!$B$85:$AB$135,25, )))-1</f>
        <v>9.8412942403758308E-4</v>
      </c>
    </row>
    <row r="28" spans="1:9" x14ac:dyDescent="0.25">
      <c r="A28" t="s">
        <v>36</v>
      </c>
      <c r="B28" s="1">
        <f>(4562.16269464648/(IFERROR(VLOOKUP(A28,'[1]Inputs for private sector'!$A$358:$T$408,20,),0)))-1</f>
        <v>6.1233227957613323E-4</v>
      </c>
      <c r="C28" s="1">
        <f>(2013/(VLOOKUP(A28,'[1]Aviation&amp;Boating'!$C$4:$I$62,7,FALSE)))-1</f>
        <v>0</v>
      </c>
      <c r="D28" s="1">
        <f>(5679.41863031029/(VLOOKUP(A28,'[1]Ind&amp;Com&amp;Con Estimates'!$A$6:$S$57,19,FALSE)))-1</f>
        <v>4.7286281557035181E-9</v>
      </c>
      <c r="E28" s="1">
        <f>(2940.14755554018/(VLOOKUP(A28,'[1]Ind&amp;Com&amp;Con Estimates'!$A$6:$S$56,18,FALSE)))-1</f>
        <v>8.7250742186739672E-9</v>
      </c>
      <c r="F28" s="1">
        <f>(5549.94125384993/(VLOOKUP(A28,'[1]Aviation&amp;Boating'!$A$68:$E$118,5,)))-1</f>
        <v>6.6973648849000256E-10</v>
      </c>
      <c r="G28" s="1">
        <f>(2232.58089663956/(VLOOKUP(A28,'[1]Inputs for public use'!$B$85:$U$136,20,)))-1</f>
        <v>9.0565993058344674E-6</v>
      </c>
      <c r="H28" s="1">
        <f>(870.576846196847/(VLOOKUP(A28,'[1]Inputs for public use'!$B$85:$AB$135,26,)))-1</f>
        <v>-2.7097706724266146E-5</v>
      </c>
      <c r="I28" s="1">
        <f>(45.5305369420007/(VLOOKUP(A28,'[1]Inputs for public use'!$B$85:$AB$135,25, )))-1</f>
        <v>5.1841043127054398E-4</v>
      </c>
    </row>
    <row r="29" spans="1:9" x14ac:dyDescent="0.25">
      <c r="A29" t="s">
        <v>37</v>
      </c>
      <c r="B29" s="1">
        <f>(6433.95782556827/(IFERROR(VLOOKUP(A29,'[1]Inputs for private sector'!$A$358:$T$408,20,),0)))-1</f>
        <v>7.1142425284165256E-10</v>
      </c>
      <c r="C29" s="1">
        <f>(1537.2/(VLOOKUP(A29,'[1]Aviation&amp;Boating'!$C$4:$I$62,7,FALSE)))-1</f>
        <v>0</v>
      </c>
      <c r="D29" s="1">
        <f>(6571.02686780269/(VLOOKUP(A29,'[1]Ind&amp;Com&amp;Con Estimates'!$A$6:$S$57,19,FALSE)))-1</f>
        <v>-1.5528699437439286E-9</v>
      </c>
      <c r="E29" s="1">
        <f>(5458.59094911047/(VLOOKUP(A29,'[1]Ind&amp;Com&amp;Con Estimates'!$A$6:$S$56,18,FALSE)))-1</f>
        <v>4.9379809130556396E-9</v>
      </c>
      <c r="F29" s="1">
        <f>(9142.11879479619/(VLOOKUP(A29,'[1]Aviation&amp;Boating'!$A$68:$E$118,5,)))-1</f>
        <v>-7.5055561765680068E-10</v>
      </c>
      <c r="G29" s="1">
        <f>(1376.67891034024/(VLOOKUP(A29,'[1]Inputs for public use'!$B$85:$U$136,20,)))-1</f>
        <v>8.1221151517762991E-6</v>
      </c>
      <c r="H29" s="1">
        <f>(21274.2752683273/(VLOOKUP(A29,'[1]Inputs for public use'!$B$85:$AB$135,26,)))-1</f>
        <v>4.4951540910664889E-5</v>
      </c>
      <c r="I29" s="1">
        <f>(1110.27362511472/(VLOOKUP(A29,'[1]Inputs for public use'!$B$85:$AB$135,25, )))-1</f>
        <v>-8.6054962598713924E-4</v>
      </c>
    </row>
    <row r="30" spans="1:9" x14ac:dyDescent="0.25">
      <c r="A30" t="s">
        <v>38</v>
      </c>
      <c r="B30" s="1">
        <f>(630.729982804726/(IFERROR(VLOOKUP(A30,'[1]Inputs for private sector'!$A$358:$T$408,20,),0)))-1</f>
        <v>8.8315593944066073E-4</v>
      </c>
      <c r="C30" s="1">
        <f>(793.359415403151/(VLOOKUP(A30,'[1]Aviation&amp;Boating'!$C$4:$I$62,7,FALSE)))-1</f>
        <v>0</v>
      </c>
      <c r="D30" s="1">
        <f>(6348.81314402143/(VLOOKUP(A30,'[1]Ind&amp;Com&amp;Con Estimates'!$A$6:$S$57,19,FALSE)))-1</f>
        <v>-2.5447969287384353E-8</v>
      </c>
      <c r="E30" s="1">
        <f>(3037.45786101694/(VLOOKUP(A30,'[1]Ind&amp;Com&amp;Con Estimates'!$A$6:$S$56,18,FALSE)))-1</f>
        <v>-1.2540461002963355E-8</v>
      </c>
      <c r="F30" s="1">
        <f>(6380.6914586639/(VLOOKUP(A30,'[1]Aviation&amp;Boating'!$A$68:$E$118,5,)))-1</f>
        <v>4.4864179038484053E-10</v>
      </c>
      <c r="G30" s="1">
        <f>(2696.37574846914/(VLOOKUP(A30,'[1]Inputs for public use'!$B$85:$U$136,20,)))-1</f>
        <v>8.6246481298957178E-6</v>
      </c>
      <c r="H30" s="1">
        <f>(12767.6997677695/(VLOOKUP(A30,'[1]Inputs for public use'!$B$85:$AB$135,26,)))-1</f>
        <v>-3.3550276915539357E-5</v>
      </c>
      <c r="I30" s="1">
        <f>(666.327765658005/(VLOOKUP(A30,'[1]Inputs for public use'!$B$85:$AB$135,25, )))-1</f>
        <v>6.4330173650106737E-4</v>
      </c>
    </row>
    <row r="31" spans="1:9" x14ac:dyDescent="0.25">
      <c r="A31" t="s">
        <v>39</v>
      </c>
      <c r="B31" s="1">
        <f>(27.3661248962704/(IFERROR(VLOOKUP(A31,'[1]Inputs for private sector'!$A$358:$T$408,20,),0)))-1</f>
        <v>8.1181726831136558E-5</v>
      </c>
      <c r="C31" s="1">
        <f>(732/(VLOOKUP(A31,'[1]Aviation&amp;Boating'!$C$4:$I$62,7,FALSE)))-1</f>
        <v>0</v>
      </c>
      <c r="D31" s="1">
        <f>(801.677651710634/(VLOOKUP(A31,'[1]Ind&amp;Com&amp;Con Estimates'!$A$6:$S$57,19,FALSE)))-1</f>
        <v>2.5317993479490042E-8</v>
      </c>
      <c r="E31" s="1">
        <f>(361.673653025615/(VLOOKUP(A31,'[1]Ind&amp;Com&amp;Con Estimates'!$A$6:$S$56,18,FALSE)))-1</f>
        <v>2.6348144999133183E-8</v>
      </c>
      <c r="F31" s="1">
        <f>(25983.9625868675/(VLOOKUP(A31,'[1]Aviation&amp;Boating'!$A$68:$E$118,5,)))-1</f>
        <v>1.1148930667559398E-9</v>
      </c>
      <c r="G31" s="1">
        <f>(784.636125069206/(VLOOKUP(A31,'[1]Inputs for public use'!$B$85:$U$136,20,)))-1</f>
        <v>8.3934931152107595E-6</v>
      </c>
      <c r="H31" s="1">
        <f>(9200.12924278946/(VLOOKUP(A31,'[1]Inputs for public use'!$B$85:$AB$135,26,)))-1</f>
        <v>-1.6196827731240759E-6</v>
      </c>
      <c r="I31" s="1">
        <f>(480.141425128743/(VLOOKUP(A31,'[1]Inputs for public use'!$B$85:$AB$135,25, )))-1</f>
        <v>3.1036225329739153E-5</v>
      </c>
    </row>
    <row r="32" spans="1:9" x14ac:dyDescent="0.25">
      <c r="A32" t="s">
        <v>40</v>
      </c>
      <c r="B32" s="1">
        <f>(502.917628849252/(IFERROR(VLOOKUP(A32,'[1]Inputs for private sector'!$A$358:$T$408,20,),0)))-1</f>
        <v>8.6180155120163526E-4</v>
      </c>
      <c r="C32" s="1">
        <f>(1793.4/(VLOOKUP(A32,'[1]Aviation&amp;Boating'!$C$4:$I$62,7,FALSE)))-1</f>
        <v>0</v>
      </c>
      <c r="D32" s="1">
        <f>(2688.23735328141/(VLOOKUP(A32,'[1]Ind&amp;Com&amp;Con Estimates'!$A$6:$S$57,19,FALSE)))-1</f>
        <v>-1.2602028565122936E-7</v>
      </c>
      <c r="E32" s="1">
        <f>(1264.27702670826/(VLOOKUP(A32,'[1]Ind&amp;Com&amp;Con Estimates'!$A$6:$S$56,18,FALSE)))-1</f>
        <v>-1.2429653040157973E-7</v>
      </c>
      <c r="F32" s="1">
        <f>(33236.6373599195/(VLOOKUP(A32,'[1]Aviation&amp;Boating'!$A$68:$E$118,5,)))-1</f>
        <v>-5.1801085643177203E-10</v>
      </c>
      <c r="G32" s="1">
        <f>(5245.70921594235/(VLOOKUP(A32,'[1]Inputs for public use'!$B$85:$U$136,20,)))-1</f>
        <v>8.0869695362473237E-6</v>
      </c>
      <c r="H32" s="1">
        <f>(30917.5867068954/(VLOOKUP(A32,'[1]Inputs for public use'!$B$85:$AB$135,26,)))-1</f>
        <v>-1.276885976742026E-5</v>
      </c>
      <c r="I32" s="1">
        <f>(1613.5440873969/(VLOOKUP(A32,'[1]Inputs for public use'!$B$85:$AB$135,25, )))-1</f>
        <v>2.4473083179965549E-4</v>
      </c>
    </row>
    <row r="33" spans="1:9" x14ac:dyDescent="0.25">
      <c r="A33" t="s">
        <v>41</v>
      </c>
      <c r="B33" s="1">
        <f>(388.812401633924/(IFERROR(VLOOKUP(A33,'[1]Inputs for private sector'!$A$358:$T$408,20,),0)))-1</f>
        <v>4.6439766817374384E-4</v>
      </c>
      <c r="C33" s="1">
        <f>(1683.6/(VLOOKUP(A33,'[1]Aviation&amp;Boating'!$C$4:$I$62,7,FALSE)))-1</f>
        <v>0</v>
      </c>
      <c r="D33" s="1">
        <f>(9644.93308027451/(VLOOKUP(A33,'[1]Ind&amp;Com&amp;Con Estimates'!$A$6:$S$57,19,FALSE)))-1</f>
        <v>1.1805207256188055E-8</v>
      </c>
      <c r="E33" s="1">
        <f>(7032.5112076274/(VLOOKUP(A33,'[1]Ind&amp;Com&amp;Con Estimates'!$A$6:$S$56,18,FALSE)))-1</f>
        <v>6.6987242419713766E-9</v>
      </c>
      <c r="F33" s="1">
        <f>(5523.05110469062/(VLOOKUP(A33,'[1]Aviation&amp;Boating'!$A$68:$E$118,5,)))-1</f>
        <v>-3.6591085716963789E-10</v>
      </c>
      <c r="G33" s="1">
        <f>(4853.41369080889/(VLOOKUP(A33,'[1]Inputs for public use'!$B$85:$U$136,20,)))-1</f>
        <v>8.5375694816036685E-6</v>
      </c>
      <c r="H33" s="1">
        <f>(9183.96638876627/(VLOOKUP(A33,'[1]Inputs for public use'!$B$85:$AB$135,26,)))-1</f>
        <v>-2.4484861810725178E-5</v>
      </c>
      <c r="I33" s="1">
        <f>(479.297909178037/(VLOOKUP(A33,'[1]Inputs for public use'!$B$85:$AB$135,25, )))-1</f>
        <v>4.6939325996553372E-4</v>
      </c>
    </row>
    <row r="34" spans="1:9" x14ac:dyDescent="0.25">
      <c r="A34" t="s">
        <v>42</v>
      </c>
      <c r="B34" s="1">
        <f>(2031.27594574163/(IFERROR(VLOOKUP(A34,'[1]Inputs for private sector'!$A$358:$T$408,20,),0)))-1</f>
        <v>1.1632069321312555E-2</v>
      </c>
      <c r="C34" s="1">
        <f>(2964.6/(VLOOKUP(A34,'[1]Aviation&amp;Boating'!$C$4:$I$62,7,FALSE)))-1</f>
        <v>0</v>
      </c>
      <c r="D34" s="1">
        <f>(6776.56879407554/(VLOOKUP(A34,'[1]Ind&amp;Com&amp;Con Estimates'!$A$6:$S$57,19,FALSE)))-1</f>
        <v>-2.3640995827634015E-9</v>
      </c>
      <c r="E34" s="1">
        <f>(2956.61468500217/(VLOOKUP(A34,'[1]Ind&amp;Com&amp;Con Estimates'!$A$6:$S$56,18,FALSE)))-1</f>
        <v>-8.433024833998104E-9</v>
      </c>
      <c r="F34" s="1">
        <f>(93818.8802305748/(VLOOKUP(A34,'[1]Aviation&amp;Boating'!$A$68:$E$118,5,)))-1</f>
        <v>-2.418685518635677E-2</v>
      </c>
      <c r="G34" s="1">
        <f>(10137.6183850953/(VLOOKUP(A34,'[1]Inputs for public use'!$B$85:$U$136,20,)))-1</f>
        <v>7.6271836149111039E-6</v>
      </c>
      <c r="H34" s="1">
        <f>(31602.6036944671/(VLOOKUP(A34,'[1]Inputs for public use'!$B$85:$AB$135,26,)))-1</f>
        <v>3.0249588345299117E-6</v>
      </c>
      <c r="I34" s="1">
        <f>(1649.29413220283/(VLOOKUP(A34,'[1]Inputs for public use'!$B$85:$AB$135,25, )))-1</f>
        <v>-5.7958579747774408E-5</v>
      </c>
    </row>
    <row r="35" spans="1:9" x14ac:dyDescent="0.25">
      <c r="A35" t="s">
        <v>43</v>
      </c>
      <c r="B35" s="1">
        <f>(2314.8176784261/(IFERROR(VLOOKUP(A35,'[1]Inputs for private sector'!$A$358:$T$408,20,),0)))-1</f>
        <v>-8.7098804776255534E-3</v>
      </c>
      <c r="C35" s="1">
        <f>(3769.8/(VLOOKUP(A35,'[1]Aviation&amp;Boating'!$C$4:$I$62,7,FALSE)))-1</f>
        <v>0</v>
      </c>
      <c r="D35" s="1">
        <f>(6714.84098614859/(VLOOKUP(A35,'[1]Ind&amp;Com&amp;Con Estimates'!$A$6:$S$57,19,FALSE)))-1</f>
        <v>8.8280924792627502E-8</v>
      </c>
      <c r="E35" s="1">
        <f>(5619.5299474285/(VLOOKUP(A35,'[1]Ind&amp;Com&amp;Con Estimates'!$A$6:$S$56,18,FALSE)))-1</f>
        <v>8.50449235478834E-8</v>
      </c>
      <c r="F35" s="1">
        <f>(76734.4238414948/(VLOOKUP(A35,'[1]Aviation&amp;Boating'!$A$68:$E$118,5,)))-1</f>
        <v>-3.3310909586248272E-10</v>
      </c>
      <c r="G35" s="1">
        <f>(5383.45143353938/(VLOOKUP(A35,'[1]Inputs for public use'!$B$85:$U$136,20,)))-1</f>
        <v>8.1002617642322861E-6</v>
      </c>
      <c r="H35" s="1">
        <f>(90898.2995761496/(VLOOKUP(A35,'[1]Inputs for public use'!$B$85:$AB$135,26,)))-1</f>
        <v>-1.8855499629766292E-5</v>
      </c>
      <c r="I35" s="1">
        <f>(3896.04767189462/(VLOOKUP(A35,'[1]Inputs for public use'!$B$85:$AB$135,25, )))-1</f>
        <v>4.4011769425833513E-4</v>
      </c>
    </row>
    <row r="36" spans="1:9" x14ac:dyDescent="0.25">
      <c r="A36" t="s">
        <v>44</v>
      </c>
      <c r="B36" s="1">
        <f>(10290.6861646181/(IFERROR(VLOOKUP(A36,'[1]Inputs for private sector'!$A$358:$T$408,20,),0)))-1</f>
        <v>6.3181297902681344E-4</v>
      </c>
      <c r="C36" s="1">
        <f>(1573.8/(VLOOKUP(A36,'[1]Aviation&amp;Boating'!$C$4:$I$62,7,FALSE)))-1</f>
        <v>0</v>
      </c>
      <c r="D36" s="1">
        <f>(4791.97115406502/(VLOOKUP(A36,'[1]Ind&amp;Com&amp;Con Estimates'!$A$6:$S$57,19,FALSE)))-1</f>
        <v>-8.9308234141327603E-9</v>
      </c>
      <c r="E36" s="1">
        <f>(3292.67979679409/(VLOOKUP(A36,'[1]Ind&amp;Com&amp;Con Estimates'!$A$6:$S$56,18,FALSE)))-1</f>
        <v>-1.3512010399452379E-9</v>
      </c>
      <c r="F36" s="1">
        <f>(8377.81138086286/(VLOOKUP(A36,'[1]Aviation&amp;Boating'!$A$68:$E$118,5,)))-1</f>
        <v>-2.7571789296132465E-10</v>
      </c>
      <c r="G36" s="1">
        <f>(1233.29498315716/(VLOOKUP(A36,'[1]Inputs for public use'!$B$85:$U$136,20,)))-1</f>
        <v>9.1153730181758874E-6</v>
      </c>
      <c r="H36" s="1">
        <f>(9388.02486616718/(VLOOKUP(A36,'[1]Inputs for public use'!$B$85:$AB$135,26,)))-1</f>
        <v>2.2237525470369945E-5</v>
      </c>
      <c r="I36" s="1">
        <f>(490.986883982436/(VLOOKUP(A36,'[1]Inputs for public use'!$B$85:$AB$135,25, )))-1</f>
        <v>-4.2500743139928243E-4</v>
      </c>
    </row>
    <row r="37" spans="1:9" x14ac:dyDescent="0.25">
      <c r="A37" t="s">
        <v>45</v>
      </c>
      <c r="B37" s="1">
        <f>(2689.32338796409/(IFERROR(VLOOKUP(A37,'[1]Inputs for private sector'!$A$358:$T$408,20,),0)))-1</f>
        <v>1.5940358009558508E-5</v>
      </c>
      <c r="C37" s="1">
        <f>(3220.8/(VLOOKUP(A37,'[1]Aviation&amp;Boating'!$C$4:$I$62,7,FALSE)))-1</f>
        <v>0</v>
      </c>
      <c r="D37" s="1">
        <f>(6528.44723226521/(VLOOKUP(A37,'[1]Ind&amp;Com&amp;Con Estimates'!$A$6:$S$57,19,FALSE)))-1</f>
        <v>3.5786677399229916E-8</v>
      </c>
      <c r="E37" s="1">
        <f>(7212.16676983086/(VLOOKUP(A37,'[1]Ind&amp;Com&amp;Con Estimates'!$A$6:$S$56,18,FALSE)))-1</f>
        <v>2.8929011186562548E-8</v>
      </c>
      <c r="F37" s="1">
        <f>(85583.1021679134/(VLOOKUP(A37,'[1]Aviation&amp;Boating'!$A$68:$E$118,5,)))-1</f>
        <v>9.3154373104198385E-12</v>
      </c>
      <c r="G37" s="1">
        <f>(5913.63947761236/(VLOOKUP(A37,'[1]Inputs for public use'!$B$85:$U$136,20,)))-1</f>
        <v>8.2621630494994491E-6</v>
      </c>
      <c r="H37" s="1">
        <f>(62945.2817303939/(VLOOKUP(A37,'[1]Inputs for public use'!$B$85:$AB$135,26,)))-1</f>
        <v>9.618393894905708E-6</v>
      </c>
      <c r="I37" s="1">
        <f>(3298.96340788636/(VLOOKUP(A37,'[1]Inputs for public use'!$B$85:$AB$135,25, )))-1</f>
        <v>-1.8348660707601105E-4</v>
      </c>
    </row>
    <row r="38" spans="1:9" x14ac:dyDescent="0.25">
      <c r="A38" t="s">
        <v>46</v>
      </c>
      <c r="B38" s="1">
        <f>(6564.90380816772/(IFERROR(VLOOKUP(A38,'[1]Inputs for private sector'!$A$358:$T$408,20,),0)))-1</f>
        <v>8.2797579664095622E-4</v>
      </c>
      <c r="C38" s="1">
        <f>(2342.4/(VLOOKUP(A38,'[1]Aviation&amp;Boating'!$C$4:$I$62,7,FALSE)))-1</f>
        <v>0</v>
      </c>
      <c r="D38" s="1">
        <f>(12513.4347675544/(VLOOKUP(A38,'[1]Ind&amp;Com&amp;Con Estimates'!$A$6:$S$57,19,FALSE)))-1</f>
        <v>8.1622180125862087E-9</v>
      </c>
      <c r="E38" s="1">
        <f>(4934.11838191947/(VLOOKUP(A38,'[1]Ind&amp;Com&amp;Con Estimates'!$A$6:$S$56,18,FALSE)))-1</f>
        <v>2.207508931206803E-8</v>
      </c>
      <c r="F38" s="1">
        <f>(50119.1407566899/(VLOOKUP(A38,'[1]Aviation&amp;Boating'!$A$68:$E$118,5,)))-1</f>
        <v>-2.2007262678869211E-10</v>
      </c>
      <c r="G38" s="1">
        <f>(2910.65144575374/(VLOOKUP(A38,'[1]Inputs for public use'!$B$85:$U$136,20,)))-1</f>
        <v>7.9776889367888515E-6</v>
      </c>
      <c r="H38" s="1">
        <f>(10989.7272282582/(VLOOKUP(A38,'[1]Inputs for public use'!$B$85:$AB$135,26,)))-1</f>
        <v>1.8729532718086972E-5</v>
      </c>
      <c r="I38" s="1">
        <f>(573.537952989905/(VLOOKUP(A38,'[1]Inputs for public use'!$B$85:$AB$135,25, )))-1</f>
        <v>-3.5874654713730081E-4</v>
      </c>
    </row>
    <row r="39" spans="1:9" x14ac:dyDescent="0.25">
      <c r="A39" t="s">
        <v>47</v>
      </c>
      <c r="B39" s="1">
        <f>(1048.74695153891/(IFERROR(VLOOKUP(A39,'[1]Inputs for private sector'!$A$358:$T$408,20,),0)))-1</f>
        <v>2.4715688525023261E-4</v>
      </c>
      <c r="C39" s="1">
        <f>(4062.6/(VLOOKUP(A39,'[1]Aviation&amp;Boating'!$C$4:$I$62,7,FALSE)))-1</f>
        <v>0</v>
      </c>
      <c r="D39" s="1">
        <f>(5383.93544935057/(VLOOKUP(A39,'[1]Ind&amp;Com&amp;Con Estimates'!$A$6:$S$57,19,FALSE)))-1</f>
        <v>-2.7039042671539448E-8</v>
      </c>
      <c r="E39" s="1">
        <f>(2348.98227696268/(VLOOKUP(A39,'[1]Ind&amp;Com&amp;Con Estimates'!$A$6:$S$56,18,FALSE)))-1</f>
        <v>-2.8303489996162057E-8</v>
      </c>
      <c r="F39" s="1">
        <f>(14380.5760507883/(VLOOKUP(A39,'[1]Aviation&amp;Boating'!$A$68:$E$118,5,)))-1</f>
        <v>-1.1044911651936218E-9</v>
      </c>
      <c r="G39" s="1">
        <f>(3473.48367301527/(VLOOKUP(A39,'[1]Inputs for public use'!$B$85:$U$136,20,)))-1</f>
        <v>9.0513840378392274E-6</v>
      </c>
      <c r="H39" s="1">
        <f>(45615.07916178/(VLOOKUP(A39,'[1]Inputs for public use'!$B$85:$AB$135,26,)))-1</f>
        <v>-2.420311749129489E-6</v>
      </c>
      <c r="I39" s="1">
        <f>(2385.63551966797/(VLOOKUP(A39,'[1]Inputs for public use'!$B$85:$AB$135,25, )))-1</f>
        <v>4.6280367550277646E-5</v>
      </c>
    </row>
    <row r="40" spans="1:9" x14ac:dyDescent="0.25">
      <c r="A40" t="s">
        <v>48</v>
      </c>
      <c r="B40" s="1">
        <f>(3095.85471928797/(IFERROR(VLOOKUP(A40,'[1]Inputs for private sector'!$A$358:$T$408,20,),0)))-1</f>
        <v>7.4984567857816486E-4</v>
      </c>
      <c r="C40" s="1">
        <f>(2928/(VLOOKUP(A40,'[1]Aviation&amp;Boating'!$C$4:$I$62,7,FALSE)))-1</f>
        <v>0</v>
      </c>
      <c r="D40" s="1">
        <f>(6186.01241132765/(VLOOKUP(A40,'[1]Ind&amp;Com&amp;Con Estimates'!$A$6:$S$57,19,FALSE)))-1</f>
        <v>-4.086956817417331E-8</v>
      </c>
      <c r="E40" s="1">
        <f>(4446.28938374425/(VLOOKUP(A40,'[1]Ind&amp;Com&amp;Con Estimates'!$A$6:$S$56,18,FALSE)))-1</f>
        <v>-4.8338087976773636E-8</v>
      </c>
      <c r="F40" s="1">
        <f>(46714.6031325452/(VLOOKUP(A40,'[1]Aviation&amp;Boating'!$A$68:$E$118,5,)))-1</f>
        <v>-1.1253489251572546E-9</v>
      </c>
      <c r="G40" s="1">
        <f>(6861.55711485143/(VLOOKUP(A40,'[1]Inputs for public use'!$B$85:$U$136,20,)))-1</f>
        <v>7.9655326306049545E-6</v>
      </c>
      <c r="H40" s="1">
        <f>(65410.5153848219/(VLOOKUP(A40,'[1]Inputs for public use'!$B$85:$AB$135,26,)))-1</f>
        <v>-4.7099290158003626E-6</v>
      </c>
      <c r="I40" s="1">
        <f>(3175.53409071747/(VLOOKUP(A40,'[1]Inputs for public use'!$B$85:$AB$135,25, )))-1</f>
        <v>9.7026269752609196E-5</v>
      </c>
    </row>
    <row r="41" spans="1:9" x14ac:dyDescent="0.25">
      <c r="A41" t="s">
        <v>49</v>
      </c>
      <c r="B41" s="1">
        <f>(5.36396876413386/(IFERROR(VLOOKUP(A41,'[1]Inputs for private sector'!$A$358:$T$408,20,),0)))-1</f>
        <v>1.3380776585658616E-4</v>
      </c>
      <c r="C41" s="1">
        <f>(346.439721776092/(VLOOKUP(A41,'[1]Aviation&amp;Boating'!$C$4:$I$62,7,FALSE)))-1</f>
        <v>-1.3322676295501878E-15</v>
      </c>
      <c r="D41" s="1">
        <f>(383.550397918182/(VLOOKUP(A41,'[1]Ind&amp;Com&amp;Con Estimates'!$A$6:$S$57,19,FALSE)))-1</f>
        <v>1.2306469288070332E-7</v>
      </c>
      <c r="E41" s="1">
        <f>(205.434970751331/(VLOOKUP(A41,'[1]Ind&amp;Com&amp;Con Estimates'!$A$6:$S$56,18,FALSE)))-1</f>
        <v>1.2129851256759139E-7</v>
      </c>
      <c r="F41" s="1">
        <f>(7676.66483559557/(VLOOKUP(A41,'[1]Aviation&amp;Boating'!$A$68:$E$118,5,)))-1</f>
        <v>7.5669670529521227E-10</v>
      </c>
      <c r="G41" s="1">
        <f>(792.022501397275/(VLOOKUP(A41,'[1]Inputs for public use'!$B$85:$U$136,20,)))-1</f>
        <v>8.2003523418361368E-6</v>
      </c>
      <c r="H41" s="1">
        <f>(9258.54402849599/(VLOOKUP(A41,'[1]Inputs for public use'!$B$85:$AB$135,26,)))-1</f>
        <v>-1.671461976859856E-5</v>
      </c>
      <c r="I41" s="1">
        <f>(452.536345424705/(VLOOKUP(A41,'[1]Inputs for public use'!$B$85:$AB$135,25, )))-1</f>
        <v>3.4209091001469183E-4</v>
      </c>
    </row>
    <row r="42" spans="1:9" x14ac:dyDescent="0.25">
      <c r="A42" t="s">
        <v>50</v>
      </c>
      <c r="B42" s="1">
        <f>(435.425475115107/(IFERROR(VLOOKUP(A42,'[1]Inputs for private sector'!$A$358:$T$408,20,),0)))-1</f>
        <v>1.8833587709310429E-4</v>
      </c>
      <c r="C42" s="1">
        <f>(2122.8/(VLOOKUP(A42,'[1]Aviation&amp;Boating'!$C$4:$I$62,7,FALSE)))-1</f>
        <v>0</v>
      </c>
      <c r="D42" s="1">
        <f>(4978.24444050907/(VLOOKUP(A42,'[1]Ind&amp;Com&amp;Con Estimates'!$A$6:$S$57,19,FALSE)))-1</f>
        <v>-1.2415437344870384E-8</v>
      </c>
      <c r="E42" s="1">
        <f>(3173.59625930506/(VLOOKUP(A42,'[1]Ind&amp;Com&amp;Con Estimates'!$A$6:$S$56,18,FALSE)))-1</f>
        <v>-9.5635852570552515E-9</v>
      </c>
      <c r="F42" s="1">
        <f>(118764.308171393/(VLOOKUP(A42,'[1]Aviation&amp;Boating'!$A$68:$E$118,5,)))-1</f>
        <v>-3.28212346190071E-10</v>
      </c>
      <c r="G42" s="1">
        <f>(3161.11203864909/(VLOOKUP(A42,'[1]Inputs for public use'!$B$85:$U$136,20,)))-1</f>
        <v>7.7635108248763629E-6</v>
      </c>
      <c r="H42" s="1">
        <f>(129625.107666258/(VLOOKUP(A42,'[1]Inputs for public use'!$B$85:$AB$135,26,)))-1</f>
        <v>-5.0592799345494655E-5</v>
      </c>
      <c r="I42" s="1">
        <f>(6980.54905864239/(VLOOKUP(A42,'[1]Inputs for public use'!$B$85:$AB$135,25, )))-1</f>
        <v>9.4041263031519051E-4</v>
      </c>
    </row>
    <row r="43" spans="1:9" x14ac:dyDescent="0.25">
      <c r="A43" t="s">
        <v>51</v>
      </c>
      <c r="B43" s="1">
        <f>(6002.15656466666/(IFERROR(VLOOKUP(A43,'[1]Inputs for private sector'!$A$358:$T$408,20,),0)))-1</f>
        <v>5.0664567044234055E-4</v>
      </c>
      <c r="C43" s="1">
        <f>(1024.8/(VLOOKUP(A43,'[1]Aviation&amp;Boating'!$C$4:$I$62,7,FALSE)))-1</f>
        <v>0</v>
      </c>
      <c r="D43" s="1">
        <f>(3034.69724916349/(VLOOKUP(A43,'[1]Ind&amp;Com&amp;Con Estimates'!$A$6:$S$57,19,FALSE)))-1</f>
        <v>3.4479086252758862E-9</v>
      </c>
      <c r="E43" s="1">
        <f>(1142.29917990937/(VLOOKUP(A43,'[1]Ind&amp;Com&amp;Con Estimates'!$A$6:$S$56,18,FALSE)))-1</f>
        <v>7.8446666940124032E-9</v>
      </c>
      <c r="F43" s="1">
        <f>(6954.96215615027/(VLOOKUP(A43,'[1]Aviation&amp;Boating'!$A$68:$E$118,5,)))-1</f>
        <v>4.8294035437379534E-11</v>
      </c>
      <c r="G43" s="1">
        <f>(1096.84657497846/(VLOOKUP(A43,'[1]Inputs for public use'!$B$85:$U$136,20,)))-1</f>
        <v>8.8735299241804455E-6</v>
      </c>
      <c r="H43" s="1">
        <f>(12798.6697982912/(VLOOKUP(A43,'[1]Inputs for public use'!$B$85:$AB$135,26,)))-1</f>
        <v>-2.0987578415621044E-5</v>
      </c>
      <c r="I43" s="1">
        <f>(673.614199910066/(VLOOKUP(A43,'[1]Inputs for public use'!$B$85:$AB$135,25, )))-1</f>
        <v>3.9893144192748586E-4</v>
      </c>
    </row>
    <row r="44" spans="1:9" x14ac:dyDescent="0.25">
      <c r="A44" t="s">
        <v>52</v>
      </c>
      <c r="B44" s="1">
        <f>(1298.95351521521/(IFERROR(VLOOKUP(A44,'[1]Inputs for private sector'!$A$358:$T$408,20,),0)))-1</f>
        <v>1.3247162430629622E-4</v>
      </c>
      <c r="C44" s="1">
        <f>(2964.6/(VLOOKUP(A44,'[1]Aviation&amp;Boating'!$C$4:$I$62,7,FALSE)))-1</f>
        <v>0</v>
      </c>
      <c r="D44" s="1">
        <f>(13326.2062407456/(VLOOKUP(A44,'[1]Ind&amp;Com&amp;Con Estimates'!$A$6:$S$57,19,FALSE)))-1</f>
        <v>-1.2197795662416411E-8</v>
      </c>
      <c r="E44" s="1">
        <f>(10023.419350725/(VLOOKUP(A44,'[1]Ind&amp;Com&amp;Con Estimates'!$A$6:$S$56,18,FALSE)))-1</f>
        <v>-5.6681477289544091E-9</v>
      </c>
      <c r="F44" s="1">
        <f>(68679.910536948/(VLOOKUP(A44,'[1]Aviation&amp;Boating'!$A$68:$E$118,5,)))-1</f>
        <v>2.5448532170457838E-11</v>
      </c>
      <c r="G44" s="1">
        <f>(4605.56391689234/(VLOOKUP(A44,'[1]Inputs for public use'!$B$85:$U$136,20,)))-1</f>
        <v>7.9545576057160616E-6</v>
      </c>
      <c r="H44" s="1">
        <f>(101143.809376553/(VLOOKUP(A44,'[1]Inputs for public use'!$B$85:$AB$135,26,)))-1</f>
        <v>1.5152117360583972E-5</v>
      </c>
      <c r="I44" s="1">
        <f>(4977.06920549819/(VLOOKUP(A44,'[1]Inputs for public use'!$B$85:$AB$135,25, )))-1</f>
        <v>-3.0782129871953501E-4</v>
      </c>
    </row>
    <row r="45" spans="1:9" x14ac:dyDescent="0.25">
      <c r="A45" t="s">
        <v>53</v>
      </c>
      <c r="B45" s="1">
        <f>(7804.89760712658/(IFERROR(VLOOKUP(A45,'[1]Inputs for private sector'!$A$358:$T$408,20,),0)))-1</f>
        <v>3.490251421212065E-9</v>
      </c>
      <c r="C45" s="1">
        <f>(16433.4/(VLOOKUP(A45,'[1]Aviation&amp;Boating'!$C$4:$I$62,7,FALSE)))-1</f>
        <v>0</v>
      </c>
      <c r="D45" s="1">
        <f>(24008.8952740154/(VLOOKUP(A45,'[1]Ind&amp;Com&amp;Con Estimates'!$A$6:$S$57,19,FALSE)))-1</f>
        <v>2.5353827703966658E-8</v>
      </c>
      <c r="E45" s="1">
        <f>(12489.7955676725/(VLOOKUP(A45,'[1]Ind&amp;Com&amp;Con Estimates'!$A$6:$S$56,18,FALSE)))-1</f>
        <v>1.4504892398292668E-8</v>
      </c>
      <c r="F45" s="1">
        <f>(139247.578302629/(VLOOKUP(A45,'[1]Aviation&amp;Boating'!$A$68:$E$118,5,)))-1</f>
        <v>7.5804384991329243E-10</v>
      </c>
      <c r="G45" s="1">
        <f>(17866.2738651546/(VLOOKUP(A45,'[1]Inputs for public use'!$B$85:$U$136,20,)))-1</f>
        <v>8.0408368663409391E-6</v>
      </c>
      <c r="H45" s="1">
        <f>(184173.378369477/(VLOOKUP(A45,'[1]Inputs for public use'!$B$85:$AB$135,26,)))-1</f>
        <v>-3.4491002180003782E-5</v>
      </c>
      <c r="I45" s="1">
        <f>(9632.13396292014/(VLOOKUP(A45,'[1]Inputs for public use'!$B$85:$AB$135,25, )))-1</f>
        <v>6.5995094045878666E-4</v>
      </c>
    </row>
    <row r="46" spans="1:9" x14ac:dyDescent="0.25">
      <c r="A46" t="s">
        <v>54</v>
      </c>
      <c r="B46" s="1">
        <f>(1235.48118852875/(IFERROR(VLOOKUP(A46,'[1]Inputs for private sector'!$A$358:$T$408,20,),0)))-1</f>
        <v>8.9768801922462949E-4</v>
      </c>
      <c r="C46" s="1">
        <f>(2232.6/(VLOOKUP(A46,'[1]Aviation&amp;Boating'!$C$4:$I$62,7,FALSE)))-1</f>
        <v>0</v>
      </c>
      <c r="D46" s="1">
        <f>(4306.17703168291/(VLOOKUP(A46,'[1]Ind&amp;Com&amp;Con Estimates'!$A$6:$S$57,19,FALSE)))-1</f>
        <v>2.1390662130471583E-8</v>
      </c>
      <c r="E46" s="1">
        <f>(2119.82449975764/(VLOOKUP(A46,'[1]Ind&amp;Com&amp;Con Estimates'!$A$6:$S$56,18,FALSE)))-1</f>
        <v>2.0946450351999601E-8</v>
      </c>
      <c r="F46" s="1">
        <f>(17018.3056764297/(VLOOKUP(A46,'[1]Aviation&amp;Boating'!$A$68:$E$118,5,)))-1</f>
        <v>3.3057778736633736E-10</v>
      </c>
      <c r="G46" s="1">
        <f>(2776.91727832614/(VLOOKUP(A46,'[1]Inputs for public use'!$B$85:$U$136,20,)))-1</f>
        <v>8.5900281290296476E-6</v>
      </c>
      <c r="H46" s="1">
        <f>(17272.2434002188/(VLOOKUP(A46,'[1]Inputs for public use'!$B$85:$AB$135,26,)))-1</f>
        <v>-4.1926387002177989E-6</v>
      </c>
      <c r="I46" s="1">
        <f>(905.238603800146/(VLOOKUP(A46,'[1]Inputs for public use'!$B$85:$AB$135,25, )))-1</f>
        <v>8.0003628843305918E-5</v>
      </c>
    </row>
    <row r="47" spans="1:9" x14ac:dyDescent="0.25">
      <c r="A47" t="s">
        <v>55</v>
      </c>
      <c r="B47" s="1">
        <f>(168.785438226581/(IFERROR(VLOOKUP(A47,'[1]Inputs for private sector'!$A$358:$T$408,20,),0)))-1</f>
        <v>3.2659463374984377E-4</v>
      </c>
      <c r="C47" s="1">
        <f>(275.760278223907/(VLOOKUP(A47,'[1]Aviation&amp;Boating'!$C$4:$I$62,7,FALSE)))-1</f>
        <v>-1.4432899320127035E-15</v>
      </c>
      <c r="D47" s="1">
        <f>(338.789556974894/(VLOOKUP(A47,'[1]Ind&amp;Com&amp;Con Estimates'!$A$6:$S$57,19,FALSE)))-1</f>
        <v>-7.827672510174466E-8</v>
      </c>
      <c r="E47" s="1">
        <f>(284.851506739748/(VLOOKUP(A47,'[1]Ind&amp;Com&amp;Con Estimates'!$A$6:$S$56,18,FALSE)))-1</f>
        <v>-8.054358413556173E-8</v>
      </c>
      <c r="F47" s="1">
        <f>(7003.02576454106/(VLOOKUP(A47,'[1]Aviation&amp;Boating'!$A$68:$E$118,5,)))-1</f>
        <v>9.163114711441267E-11</v>
      </c>
      <c r="G47" s="1">
        <f>(444.292581832473/(VLOOKUP(A47,'[1]Inputs for public use'!$B$85:$U$136,20,)))-1</f>
        <v>8.348240231992321E-6</v>
      </c>
      <c r="H47" s="1">
        <f>(7700.51471707753/(VLOOKUP(A47,'[1]Inputs for public use'!$B$85:$AB$135,26,)))-1</f>
        <v>-1.8730387698395745E-5</v>
      </c>
      <c r="I47" s="1">
        <f>(402.731328463383/(VLOOKUP(A47,'[1]Inputs for public use'!$B$85:$AB$135,25, )))-1</f>
        <v>3.5827360228490868E-4</v>
      </c>
    </row>
    <row r="48" spans="1:9" x14ac:dyDescent="0.25">
      <c r="A48" t="s">
        <v>56</v>
      </c>
      <c r="B48" s="1">
        <f>(1133.44033255043/(IFERROR(VLOOKUP(A48,'[1]Inputs for private sector'!$A$358:$T$408,20,),0)))-1</f>
        <v>4.4644532915172341E-4</v>
      </c>
      <c r="C48" s="1">
        <f>(2854.8/(VLOOKUP(A48,'[1]Aviation&amp;Boating'!$C$4:$I$62,7,FALSE)))-1</f>
        <v>0</v>
      </c>
      <c r="D48" s="1">
        <f>(2823.73812216758/(VLOOKUP(A48,'[1]Ind&amp;Com&amp;Con Estimates'!$A$6:$S$57,19,FALSE)))-1</f>
        <v>2.1764090529785562E-9</v>
      </c>
      <c r="E48" s="1">
        <f>(2013.97285772908/(VLOOKUP(A48,'[1]Ind&amp;Com&amp;Con Estimates'!$A$6:$S$56,18,FALSE)))-1</f>
        <v>2.8992883649436862E-9</v>
      </c>
      <c r="F48" s="1">
        <f>(56949.2215109179/(VLOOKUP(A48,'[1]Aviation&amp;Boating'!$A$68:$E$118,5,)))-1</f>
        <v>-6.565292753890617E-10</v>
      </c>
      <c r="G48" s="1">
        <f>(10060.2546094226/(VLOOKUP(A48,'[1]Inputs for public use'!$B$85:$U$136,20,)))-1</f>
        <v>7.6445048537987503E-6</v>
      </c>
      <c r="H48" s="1">
        <f>(85587.0534467101/(VLOOKUP(A48,'[1]Inputs for public use'!$B$85:$AB$135,26,)))-1</f>
        <v>-2.881361761186696E-5</v>
      </c>
      <c r="I48" s="1">
        <f>(4466.66440546803/(VLOOKUP(A48,'[1]Inputs for public use'!$B$85:$AB$135,25, )))-1</f>
        <v>5.5242700804281064E-4</v>
      </c>
    </row>
    <row r="49" spans="1:9" x14ac:dyDescent="0.25">
      <c r="A49" t="s">
        <v>57</v>
      </c>
      <c r="B49" s="1">
        <f>(4489.59393458657/(IFERROR(VLOOKUP(A49,'[1]Inputs for private sector'!$A$358:$T$408,20,),0)))-1</f>
        <v>-7.4293438068195883E-10</v>
      </c>
      <c r="C49" s="1">
        <f>(3513.6/(VLOOKUP(A49,'[1]Aviation&amp;Boating'!$C$4:$I$62,7,FALSE)))-1</f>
        <v>0</v>
      </c>
      <c r="D49" s="1">
        <f>(5724.60005767627/(VLOOKUP(A49,'[1]Ind&amp;Com&amp;Con Estimates'!$A$6:$S$57,19,FALSE)))-1</f>
        <v>-2.5613986709416281E-8</v>
      </c>
      <c r="E49" s="1">
        <f>(3490.49041799319/(VLOOKUP(A49,'[1]Ind&amp;Com&amp;Con Estimates'!$A$6:$S$56,18,FALSE)))-1</f>
        <v>-1.7120758366573341E-8</v>
      </c>
      <c r="F49" s="1">
        <f>(26568.6428253602/(VLOOKUP(A49,'[1]Aviation&amp;Boating'!$A$68:$E$118,5,)))-1</f>
        <v>-3.4944813709358868E-10</v>
      </c>
      <c r="G49" s="1">
        <f>(6710.82925927591/(VLOOKUP(A49,'[1]Inputs for public use'!$B$85:$U$136,20,)))-1</f>
        <v>8.6151645337650962E-6</v>
      </c>
      <c r="H49" s="1">
        <f>(123669.666465253/(VLOOKUP(A49,'[1]Inputs for public use'!$B$85:$AB$135,26,)))-1</f>
        <v>-3.6343558804774467E-5</v>
      </c>
      <c r="I49" s="1">
        <f>(5435.31992711886/(VLOOKUP(A49,'[1]Inputs for public use'!$B$85:$AB$135,25, )))-1</f>
        <v>8.2763834445387374E-4</v>
      </c>
    </row>
    <row r="50" spans="1:9" x14ac:dyDescent="0.25">
      <c r="A50" t="s">
        <v>58</v>
      </c>
      <c r="B50" s="1">
        <f>(412.862125269034/(IFERROR(VLOOKUP(A50,'[1]Inputs for private sector'!$A$358:$T$408,20,),0)))-1</f>
        <v>6.7791162017738493E-4</v>
      </c>
      <c r="C50" s="1">
        <f>(366/(VLOOKUP(A50,'[1]Aviation&amp;Boating'!$C$4:$I$62,7,FALSE)))-1</f>
        <v>0</v>
      </c>
      <c r="D50" s="1">
        <f>(3815.04264170201/(VLOOKUP(A50,'[1]Ind&amp;Com&amp;Con Estimates'!$A$6:$S$57,19,FALSE)))-1</f>
        <v>2.4107508433957037E-8</v>
      </c>
      <c r="E50" s="1">
        <f>(2157.08357363327/(VLOOKUP(A50,'[1]Ind&amp;Com&amp;Con Estimates'!$A$6:$S$56,18,FALSE)))-1</f>
        <v>3.2091602708561595E-8</v>
      </c>
      <c r="F50" s="1">
        <f>(8614.74303882453/(VLOOKUP(A50,'[1]Aviation&amp;Boating'!$A$68:$E$118,5,)))-1</f>
        <v>-3.0862912225870787E-10</v>
      </c>
      <c r="G50" s="1">
        <f>(1581.02738191557/(VLOOKUP(A50,'[1]Inputs for public use'!$B$85:$U$136,20,)))-1</f>
        <v>8.1666485378661946E-6</v>
      </c>
      <c r="H50" s="1">
        <f>(21896.6858721106/(VLOOKUP(A50,'[1]Inputs for public use'!$B$85:$AB$135,26,)))-1</f>
        <v>2.678275872214364E-5</v>
      </c>
      <c r="I50" s="1">
        <f>(1142.75633339298/(VLOOKUP(A50,'[1]Inputs for public use'!$B$85:$AB$135,25, )))-1</f>
        <v>-5.1291525412866523E-4</v>
      </c>
    </row>
    <row r="51" spans="1:9" x14ac:dyDescent="0.25">
      <c r="A51" t="s">
        <v>59</v>
      </c>
      <c r="B51" s="1">
        <f>(2738.38933777174/(IFERROR(VLOOKUP(A51,'[1]Inputs for private sector'!$A$358:$T$408,20,),0)))-1</f>
        <v>3.0787208338267646E-9</v>
      </c>
      <c r="C51" s="1">
        <f>(2415.6/(VLOOKUP(A51,'[1]Aviation&amp;Boating'!$C$4:$I$62,7,FALSE)))-1</f>
        <v>0</v>
      </c>
      <c r="D51" s="1">
        <f>(8733.21492181729/(VLOOKUP(A51,'[1]Ind&amp;Com&amp;Con Estimates'!$A$6:$S$57,19,FALSE)))-1</f>
        <v>-1.4646587942479528E-8</v>
      </c>
      <c r="E51" s="1">
        <f>(6322.28362648735/(VLOOKUP(A51,'[1]Ind&amp;Com&amp;Con Estimates'!$A$6:$S$56,18,FALSE)))-1</f>
        <v>-2.3973826146495014E-8</v>
      </c>
      <c r="F51" s="1">
        <f>(98123.9991602933/(VLOOKUP(A51,'[1]Aviation&amp;Boating'!$A$68:$E$118,5,)))-1</f>
        <v>-1.1757875784113025E-9</v>
      </c>
      <c r="G51" s="1">
        <f>(2682.18714143175/(VLOOKUP(A51,'[1]Inputs for public use'!$B$85:$U$136,20,)))-1</f>
        <v>8.2539577315188239E-6</v>
      </c>
      <c r="H51" s="1">
        <f>(49664.6168704379/(VLOOKUP(A51,'[1]Inputs for public use'!$B$85:$AB$135,26,)))-1</f>
        <v>1.5153524758781955E-5</v>
      </c>
      <c r="I51" s="1">
        <f>(2602.92351099538/(VLOOKUP(A51,'[1]Inputs for public use'!$B$85:$AB$135,25, )))-1</f>
        <v>-2.8904616780467407E-4</v>
      </c>
    </row>
    <row r="52" spans="1:9" x14ac:dyDescent="0.25">
      <c r="A52" t="s">
        <v>60</v>
      </c>
      <c r="B52" s="1">
        <f>(2043.80173342185/(IFERROR(VLOOKUP(A52,'[1]Inputs for private sector'!$A$358:$T$408,20,),0)))-1</f>
        <v>9.512709818975118E-4</v>
      </c>
      <c r="C52" s="1">
        <f>(768.6/(VLOOKUP(A52,'[1]Aviation&amp;Boating'!$C$4:$I$62,7,FALSE)))-1</f>
        <v>0</v>
      </c>
      <c r="D52" s="1">
        <f>(3221.37455852436/(VLOOKUP(A52,'[1]Ind&amp;Com&amp;Con Estimates'!$A$6:$S$57,19,FALSE)))-1</f>
        <v>1.0078620604758726E-8</v>
      </c>
      <c r="E52" s="1">
        <f>(2429.65484450732/(VLOOKUP(A52,'[1]Ind&amp;Com&amp;Con Estimates'!$A$6:$S$56,18,FALSE)))-1</f>
        <v>-4.6134202014158632E-9</v>
      </c>
      <c r="F52" s="1">
        <f>(4872.36572477926/(VLOOKUP(A52,'[1]Aviation&amp;Boating'!$A$68:$E$118,5,)))-1</f>
        <v>7.7671380438459892E-10</v>
      </c>
      <c r="G52" s="1">
        <f>(1281.51299670305/(VLOOKUP(A52,'[1]Inputs for public use'!$B$85:$U$136,20,)))-1</f>
        <v>9.0122504325940156E-6</v>
      </c>
      <c r="H52" s="1">
        <f>(6863.45667207556/(VLOOKUP(A52,'[1]Inputs for public use'!$B$85:$AB$135,26,)))-1</f>
        <v>2.3623936442618287E-6</v>
      </c>
      <c r="I52" s="1">
        <f>(363.51676382584/(VLOOKUP(A52,'[1]Inputs for public use'!$B$85:$AB$135,25, )))-1</f>
        <v>-4.4601588017112448E-5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off_highway_script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Hines</dc:creator>
  <cp:lastModifiedBy>Erich Hines</cp:lastModifiedBy>
  <dcterms:created xsi:type="dcterms:W3CDTF">2018-03-12T00:47:24Z</dcterms:created>
  <dcterms:modified xsi:type="dcterms:W3CDTF">2018-03-12T01:53:45Z</dcterms:modified>
</cp:coreProperties>
</file>