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rent\Desktop\PaleoMasters\Second_Semester\Research Project Implementation\"/>
    </mc:Choice>
  </mc:AlternateContent>
  <xr:revisionPtr revIDLastSave="0" documentId="13_ncr:1_{D7DDFA1B-01F7-483B-ABBE-5D3FDF12480F}" xr6:coauthVersionLast="47" xr6:coauthVersionMax="47" xr10:uidLastSave="{00000000-0000-0000-0000-000000000000}"/>
  <bookViews>
    <workbookView xWindow="11700" yWindow="6840" windowWidth="16890" windowHeight="8550" firstSheet="3" activeTab="5" xr2:uid="{00000000-000D-0000-FFFF-FFFF00000000}"/>
  </bookViews>
  <sheets>
    <sheet name="Main Table" sheetId="1" r:id="rId1"/>
    <sheet name="PL against PW" sheetId="2" r:id="rId2"/>
    <sheet name="OL against OW" sheetId="3" r:id="rId3"/>
    <sheet name="PW against OW" sheetId="4" r:id="rId4"/>
    <sheet name="PL against OL" sheetId="5" r:id="rId5"/>
    <sheet name="Final Table" sheetId="6"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 i="5" l="1"/>
  <c r="G9" i="5"/>
  <c r="G8" i="5"/>
  <c r="G7" i="5"/>
  <c r="G6" i="5"/>
  <c r="G5" i="5"/>
  <c r="G4" i="5"/>
  <c r="G3" i="5"/>
  <c r="G2" i="5"/>
  <c r="G17" i="3"/>
  <c r="G16" i="3"/>
  <c r="G15" i="3"/>
  <c r="G14" i="3"/>
  <c r="G13" i="3"/>
  <c r="G12" i="3"/>
  <c r="G11" i="3"/>
  <c r="G10" i="3"/>
  <c r="G9" i="3"/>
  <c r="G8" i="3"/>
  <c r="G7" i="3"/>
  <c r="G6" i="3"/>
  <c r="G5" i="3"/>
  <c r="G4" i="3"/>
  <c r="G3" i="3"/>
  <c r="G2" i="3"/>
  <c r="G17" i="2"/>
  <c r="G16" i="2"/>
  <c r="G15" i="2"/>
  <c r="G14" i="2"/>
  <c r="G13" i="2"/>
  <c r="G12" i="2"/>
  <c r="G11" i="2"/>
  <c r="G10" i="2"/>
  <c r="G9" i="2"/>
  <c r="G8" i="2"/>
  <c r="G7" i="2"/>
  <c r="G6" i="2"/>
  <c r="G5" i="2"/>
  <c r="G4" i="2"/>
  <c r="G3" i="2"/>
  <c r="G2" i="2"/>
  <c r="H35" i="1"/>
  <c r="G35" i="1"/>
  <c r="F35" i="1"/>
  <c r="E35" i="1"/>
  <c r="H39" i="1"/>
  <c r="G39" i="1"/>
  <c r="F39" i="1"/>
  <c r="E39" i="1"/>
  <c r="F38" i="1"/>
  <c r="E38" i="1"/>
  <c r="H37" i="1"/>
  <c r="G37" i="1"/>
  <c r="F37" i="1"/>
  <c r="E37" i="1"/>
  <c r="G34" i="1"/>
  <c r="F34" i="1"/>
  <c r="E34" i="1"/>
  <c r="H33" i="1"/>
  <c r="G33" i="1"/>
  <c r="F33" i="1"/>
  <c r="E33" i="1"/>
  <c r="E32" i="1"/>
  <c r="H28" i="1"/>
  <c r="G28" i="1"/>
  <c r="F28" i="1"/>
  <c r="E28" i="1"/>
  <c r="H27" i="1"/>
  <c r="G27" i="1"/>
  <c r="H26" i="1"/>
  <c r="G26" i="1"/>
  <c r="F26" i="1"/>
  <c r="H25" i="1"/>
  <c r="G25" i="1"/>
  <c r="G24" i="1"/>
  <c r="F24" i="1"/>
  <c r="E24" i="1"/>
  <c r="F23" i="1"/>
  <c r="E23" i="1"/>
  <c r="H20" i="1"/>
  <c r="G20" i="1"/>
  <c r="F20" i="1"/>
  <c r="E20" i="1"/>
  <c r="H19" i="1"/>
  <c r="G19" i="1"/>
  <c r="H15" i="1"/>
  <c r="G15" i="1"/>
  <c r="F15" i="1"/>
  <c r="E15" i="1"/>
  <c r="H14" i="1"/>
  <c r="G14" i="1"/>
  <c r="H12" i="1"/>
  <c r="G12" i="1"/>
  <c r="E8" i="1"/>
  <c r="G5" i="1"/>
  <c r="E4" i="1"/>
  <c r="E2" i="1"/>
</calcChain>
</file>

<file path=xl/sharedStrings.xml><?xml version="1.0" encoding="utf-8"?>
<sst xmlns="http://schemas.openxmlformats.org/spreadsheetml/2006/main" count="530" uniqueCount="153">
  <si>
    <t>Specimen</t>
  </si>
  <si>
    <t>Body Fossil Photographed?</t>
  </si>
  <si>
    <t>Counterpart photographed?</t>
  </si>
  <si>
    <t>Very quick description</t>
  </si>
  <si>
    <t>PW (in cm)</t>
  </si>
  <si>
    <t>PL (in cm)</t>
  </si>
  <si>
    <t>notes_on_measurements</t>
  </si>
  <si>
    <t>Telson?</t>
  </si>
  <si>
    <t>LIM 3</t>
  </si>
  <si>
    <t>Yes</t>
  </si>
  <si>
    <t>Almost complete prosoma with a countrpart</t>
  </si>
  <si>
    <t>NA</t>
  </si>
  <si>
    <t>PW: Left half of prosoma measured and estimated (at ist apparent widest, not at tip genal spine, which was not fully preserved) and doubled for the entire PW (Image of Body Fossil, IMG_3061, used for measurement); PL: Measured and estimated (Image of Body Fossil, IMG_3061, used for measurement)</t>
  </si>
  <si>
    <t>LIM 8</t>
  </si>
  <si>
    <t>Unidentified (maybe opisthosomal parts?) with a counterpart</t>
  </si>
  <si>
    <t>NY</t>
  </si>
  <si>
    <t>LIM 28</t>
  </si>
  <si>
    <t>Partial Prosoma with a counterpart</t>
  </si>
  <si>
    <t>PW: Right half of prosoma (using IMG_3063) measured and estimated (without genal spine) and doubled for the entire PW ; PL: Measured and estimated (Image IMG_3063 used) - mainly an estimate, hence possibly unreliable</t>
  </si>
  <si>
    <t>LIM 4</t>
  </si>
  <si>
    <t>Fairly complete opisthosoma with a counterpart</t>
  </si>
  <si>
    <t>TW: Left half of thoracetron measured (IMG_3069 used) and doubled for eventual total TW ; TL: Length measured along medial/axial ridge (IMG_3069 used)</t>
  </si>
  <si>
    <t>LIM 48</t>
  </si>
  <si>
    <t>Only Counterpart</t>
  </si>
  <si>
    <t>Fairly complete counterpart of a prosoma + opisthosoma</t>
  </si>
  <si>
    <t>PW: Measured and estimated total PW (without genal spine) from IMG_3076 (A  counterpart?). Measuring and doubleing width of left prosomal half from the same image would result in the same PW; PL: Measured along cardiac ridge (IMG_3076, a counterpart(?), was used)</t>
  </si>
  <si>
    <t>LIM 10</t>
  </si>
  <si>
    <t>Pieces of prosoma + a fairly complete opisthosoma with a counterpart</t>
  </si>
  <si>
    <t>LIM 31</t>
  </si>
  <si>
    <t>Almost complete specimen (even with telson?) with a counterpart</t>
  </si>
  <si>
    <t>PW: Right prosomal half measured (not at genal spines) and doubled (IMG_3086, body fossil, used); PL: Anterior-most part of prosoma is missing, making a measurement/estimate very difficult; TW: measured using IMG_3086 (body fossil); TL: measured along axial ridge, using IMG_3086 (body fossil)</t>
  </si>
  <si>
    <t>Maybe?</t>
  </si>
  <si>
    <t>LIM 6</t>
  </si>
  <si>
    <t>PW: Measured and estimated using IMG_3093, a body fossil. Measureing and doubling right prosomal half will result in similar total PW; PL: Measured along cordiac ridge axis</t>
  </si>
  <si>
    <t>LIM 9</t>
  </si>
  <si>
    <t>No Counterpart</t>
  </si>
  <si>
    <t>Almost complete specimen</t>
  </si>
  <si>
    <t>PW: Measured using IMG_3098 (Body Fossil); PL: Measured and estimated  using IMG_3098 (Body Fossil); TW: Measured using IMG_3098 (Body Fossil); TL: Measured along axial ridge using IMG_3098 (Body Fossil)</t>
  </si>
  <si>
    <t>Not much if at all</t>
  </si>
  <si>
    <t>LIM 30</t>
  </si>
  <si>
    <t>Unidentified (maybe mainly prosomal parts with some opisthosomal ones?) with a counterpart; Unclear which peace represents the body fossil and which one is the counterpart/imprint</t>
  </si>
  <si>
    <t>LIM 7</t>
  </si>
  <si>
    <t>Partial Opisthosoma with a counterpart</t>
  </si>
  <si>
    <t>TW: Measured and estimated using  IMG_3107 (body fossil?). Measuring and doubling right half of thoracetron (using same image) would lead to similar results for eventual total TW ; TL: Length measured along medial/axial ridge (IMG_3107 used; body fossil?)</t>
  </si>
  <si>
    <t>LIM 15</t>
  </si>
  <si>
    <t xml:space="preserve">Yes </t>
  </si>
  <si>
    <t>No Counterpart ?</t>
  </si>
  <si>
    <t>Two individuals ? Both with Prosomal parts, one maybe also with opisthosomal parts? Also very possible that the two fossils are counterparts to each other</t>
  </si>
  <si>
    <t>Not complete enough for measurements?</t>
  </si>
  <si>
    <t>LIM 19</t>
  </si>
  <si>
    <t>TW: Measured and estimated left half of thoracetron (using IMG_3115, fossil on the right when image turned to 180°) and multiplied by 2. Measurement may not be very reliable as it relies a lot on estimation; TL: Measured along axial ridge (using IMG_3115, fossil on the right when image turned to 180°)</t>
  </si>
  <si>
    <t>LIM 12</t>
  </si>
  <si>
    <t>Almost complete specimen (even with telson?!) with a counterpart</t>
  </si>
  <si>
    <t>PW: measured and doubled left half of prosoma (using IMG_3121, body fossil); PL: measured and estimated using IMG_3121 (body fossil); TW: measured and estimated (using IMG_ 3121, body fossil); TL: measured along axial/medial ridge (using IMG_3121, body fossil)</t>
  </si>
  <si>
    <t>Yes! Around 0.448998267006296 cm long (using IMG_3121, body fossil)</t>
  </si>
  <si>
    <t>LIM 18</t>
  </si>
  <si>
    <t>Yes?</t>
  </si>
  <si>
    <t>Different, unidentifiable fragments; Uncertain which/if pieces represent counterparts or body fossil</t>
  </si>
  <si>
    <t>Not complete enough for measurements</t>
  </si>
  <si>
    <t>LIM 5</t>
  </si>
  <si>
    <t xml:space="preserve">Different, unidentifiable fragments; Uncertain which/if pieces represent counterparts or body fossil; One piece possibly representing opisthosomal parts with some prosomal fragments (Or imprisnts of these parts?)? </t>
  </si>
  <si>
    <t>LIM 21</t>
  </si>
  <si>
    <t>Mainly prosomal fragments ? Uncertain if body fossil or an imprint/counterpart</t>
  </si>
  <si>
    <t>LIM 11(?)/ LIM 22, 23, 24???</t>
  </si>
  <si>
    <t>Relatively complete specimen (with telson!) with a counterpart</t>
  </si>
  <si>
    <t>TW: Left half of thoracetron measured (IMG_3139 used, body fossil?; IMG_3143, print fossil?, also used to held identify certain anatomical features) and doubled for eventual total TW ; TL: Length measured and estimated along medial/axial ridge (IMG_3139 used, body fossil?; IMG_3143, print fossil?, also used to held identify certain anatomical features). Measurement heavily based on estimation, hence it may not be too reliable</t>
  </si>
  <si>
    <t>Yes, but potentially not complete; Visible portion is between around 3.064973229741154 cm and 1.995704856802306 cm (???) (Using IMG_3141, body fossil). Measurement depends on identification of telson tip (or at least the tip of the observable part)</t>
  </si>
  <si>
    <t>LIM 26</t>
  </si>
  <si>
    <t>Yes (But not same individual)</t>
  </si>
  <si>
    <t>Two individuals? Both fairly complete, one is a body fossil, the other an imprint/counterpart(?); They don't belong together (?)</t>
  </si>
  <si>
    <t>Despite the possibility of the fossils representing two seperate specimens, only the body fossil was measured; PW: Measured using IMG_3149 (Body Fossil); PL: Measured IMG_3149 (Body Fossil); TW: Measured using IMG_3149 (Body Fossil); TL: Measured along axial ridge using IMG_3149 (Body Fossil)</t>
  </si>
  <si>
    <t>LIM 27</t>
  </si>
  <si>
    <t>No Counterpart?</t>
  </si>
  <si>
    <t>Mainly prosomal parts (Could also very well be an imprint/counterpart)</t>
  </si>
  <si>
    <t>LIM 2</t>
  </si>
  <si>
    <t>Either a part of the prosoma or of the opisthosoma? -&gt; To be further investigated</t>
  </si>
  <si>
    <t>LIM 13</t>
  </si>
  <si>
    <t>A fairly complete prosoma</t>
  </si>
  <si>
    <t xml:space="preserve">PW: Measured using IMG_3155 (Body Fossil?); PL: Measured and estimated  using IMG_3155 (Body Fossil?); </t>
  </si>
  <si>
    <t>LIM 29</t>
  </si>
  <si>
    <t>Relatively complete specimen with a counterpart</t>
  </si>
  <si>
    <t>PW: Measured and doubled left prosomal half using IMG_3162 (Body Fossil); PL: Measured using IMG_3162 (Body Fossil); TW: Measured and doubled right opisthosomal half using IMG_3164 (Counterpart/Print Fossil -&gt; measurement represents left opisthosomal half in reality)</t>
  </si>
  <si>
    <t>LIM 33</t>
  </si>
  <si>
    <t>An Opisthosoma with a counterpart</t>
  </si>
  <si>
    <t>TW: Measured and estimated using IMG_3168 (body fossil). Measuring and doubling left half of thoracetron would return a similar result; TL: Measured along axial ridge using IMG 3168 (Body Fossil)</t>
  </si>
  <si>
    <t>LIM 14</t>
  </si>
  <si>
    <t>A fairly complete individual without a counterpart</t>
  </si>
  <si>
    <t>PL: Measured and estimated using IMG_3174 (Body fossil). Measurement heavily relying on estimation, hence it may be unreliable; TW: Measured, estimated and doubled right half of thoracetron using IMG_3174 (Body fossil). Measurement heavily relying on estimation, hence it may be unreliable; TL: Measured and estimated along axial ridge using IMG_3174 (Body fossil). Measurement heavily relying on estimation, hence it may be unreliable;</t>
  </si>
  <si>
    <t>Possibly? Possible fragment (around 0.4724892698352925 cm long, using IMG_3174, body fossil) may represent a  partial telson</t>
  </si>
  <si>
    <t>LIM 20</t>
  </si>
  <si>
    <t>Mainly an Opisthosoma with a counterpart</t>
  </si>
  <si>
    <t>TW: Measured and estimated using IMG_3175 (Body fossil, upwards and to the right from specimen lable). Measuring left half of thoracetron would lead to similar results; TL: Measured and estimated along axial/medial ridge  using IMG_3175 (Body fossil, upwards and to the right from specimen lable). Measurement relying strongly on estimation, hence potentially unreliable</t>
  </si>
  <si>
    <t>LIM 38</t>
  </si>
  <si>
    <t>Relatively complete individual with a counterpart</t>
  </si>
  <si>
    <t>PW: Measured using IMG (3188, print/counterpart); PL: Measured using IMG (3188, print/counterpart); TW: Measured, estimated and doubled left half of thoracetron (using IMG_3184, body fossil); Measured along axial ridge using IMG (3188, print/counterpart)</t>
  </si>
  <si>
    <t>LIM 16</t>
  </si>
  <si>
    <t>A fairly complete prosoma with a counterpart</t>
  </si>
  <si>
    <t>LIM 17</t>
  </si>
  <si>
    <t>Different unidentified fragments, some possibly prosomal? Some potentially represents imprints/counterparts? -&gt; To be further investigated(?)</t>
  </si>
  <si>
    <t>LIM 25</t>
  </si>
  <si>
    <t>Two pieces, one possibly an imprint of an opisthosoma, the other could not be identified (maybe a prosomal imrpint?)-&gt; further investigation pending</t>
  </si>
  <si>
    <t>LIM 32</t>
  </si>
  <si>
    <t>Prosoma without a counterpart</t>
  </si>
  <si>
    <t>PW: Measured and doubled right prosomal half using IMG_3205 (body fossil)</t>
  </si>
  <si>
    <t>LIM 50</t>
  </si>
  <si>
    <t>Prosoma with an opisthosoma and even a partial telson; Two additional fragments representing possiply and imprint/counterpart?</t>
  </si>
  <si>
    <t>PW: Measured, estimated and doubled right prosomal half using IMG_3210 (Body fossil? Counterpart?). Measurement relying heavily on estimation, hence potentially unreliable; PL: Measured and estimated using IMG_3210 (Body fossil? Counterpart?). Measurement relying heavily on estimation, hence potentially unreliable; TW: Measured, estimated and doubled left half of opisthosoma using IMG_3210 (Body fossil? Counterpart?). Measurement relying heavily on estimation, hence potentially unreliable; TL: Measured and estimated along medial/axial ridge using IMG_3210 (Body fossil? Counterpart?). Measurement relying heavily on estimation, hence potentially unreliable;</t>
  </si>
  <si>
    <t>NA?</t>
  </si>
  <si>
    <t xml:space="preserve">LIM 43 E </t>
  </si>
  <si>
    <t>PW: Measured and doubled right prosomal half using IMG_3216 (body fossil); PL: Measured using IMG_3216 (body fossil); TW: Measured and doubled right thoracetron half using IMG_3216 (body fossil); TL: Not yet</t>
  </si>
  <si>
    <t>Yes, but uncomplete (yet to be measured)</t>
  </si>
  <si>
    <t>LIM 45 E</t>
  </si>
  <si>
    <t>On Phone only</t>
  </si>
  <si>
    <t>PW: Measured and doubled right prosomal half using Image 1000022246 (body fossil); PL: Measured using using Image 1000022246 (body fossil); TW: Measured using Image 1000022246 (body fossil); TL: Measured along axial ridge usingusing Image 1000022246 (body fossil)</t>
  </si>
  <si>
    <t>LIM 49</t>
  </si>
  <si>
    <t>A partial prosoma without a counterpart</t>
  </si>
  <si>
    <t>LIM 41</t>
  </si>
  <si>
    <t>A complete body (With telson!) with counterpart</t>
  </si>
  <si>
    <t>PW: Measured using 1000022251 (Body fossil); PL: Measured using Image 1000022251 (Body fossil). Measurement relying heavily on estimation, hence potentially unreliable; TW: Measured using 1000022251 (Body fossil); TL: Measured along axial ridge using 1000022251 (Body fossil)</t>
  </si>
  <si>
    <t>Yes, but only partial; yet to be measured</t>
  </si>
  <si>
    <t>LIM 37</t>
  </si>
  <si>
    <t>A full body, without a counterpart</t>
  </si>
  <si>
    <t xml:space="preserve">PW: Measured and doubled right prosomal half using IMG_3223 (body fossil); PL: Measured using IMG_3223 (body fossil); </t>
  </si>
  <si>
    <t>LIM 35</t>
  </si>
  <si>
    <t xml:space="preserve">A full body (with telson!) with a counterpart; Also including a third piece that could not be identified yet </t>
  </si>
  <si>
    <t>PW: Measured using IMG_3227 (Body fossil); PL: Measured using IMG_3227 (Body fossil); TW: Measured using IMG_3227 (Body fossil); TL: Measured along medial/axial ridge using IMG_3227 (Body fossil)</t>
  </si>
  <si>
    <t>Yes! Around 0.53815859103787 cm long (using IMG_3227, body fossil), but not attached to the remaining specimen and possibly incomplete</t>
  </si>
  <si>
    <t>LIM 40</t>
  </si>
  <si>
    <t>A full body (not being too complete), with a counterpart</t>
  </si>
  <si>
    <t>LIM 39</t>
  </si>
  <si>
    <t>A incomplete prosoma with an opisthosoma? Without Counterpart (Though, the piece itself could very well be an imprint/counterpart)?</t>
  </si>
  <si>
    <t>OW (in cm)</t>
  </si>
  <si>
    <t>OL (in cm)</t>
  </si>
  <si>
    <t>An almost full body, with counterpart</t>
  </si>
  <si>
    <t>Possibly represented on rock fragment bearing the counterpart, yet to be measured</t>
  </si>
  <si>
    <t xml:space="preserve">LIM 45 </t>
  </si>
  <si>
    <t>An almolst full body, with a counterpart; Addittional smaller piece likely represents another part of the prosoma</t>
  </si>
  <si>
    <t xml:space="preserve">LIM 43 </t>
  </si>
  <si>
    <t>PL/PW</t>
  </si>
  <si>
    <t>LIM 45</t>
  </si>
  <si>
    <t>LIM 43</t>
  </si>
  <si>
    <t>TL/TW</t>
  </si>
  <si>
    <t>PL/OL</t>
  </si>
  <si>
    <t>Growth Stage</t>
  </si>
  <si>
    <t>LIM 11</t>
  </si>
  <si>
    <t>a</t>
  </si>
  <si>
    <t>b</t>
  </si>
  <si>
    <t>c</t>
  </si>
  <si>
    <t>d</t>
  </si>
  <si>
    <t>e</t>
  </si>
  <si>
    <t>f</t>
  </si>
  <si>
    <t>g</t>
  </si>
  <si>
    <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</si>
</sst>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6">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rgb="FF00B05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0" fillId="3" borderId="0" xfId="0" applyFill="1"/>
    <xf numFmtId="0" fontId="0" fillId="4" borderId="0" xfId="0" applyFill="1"/>
    <xf numFmtId="0" fontId="0" fillId="5" borderId="0" xfId="0" applyFill="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Prosomal</a:t>
            </a:r>
            <a:r>
              <a:rPr lang="de-DE" baseline="0"/>
              <a:t> sizes</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3.1468402151709644E-2"/>
          <c:y val="8.7268724062575811E-2"/>
          <c:w val="0.94680093209892002"/>
          <c:h val="0.85933429785279591"/>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dLbls>
            <c:dLbl>
              <c:idx val="0"/>
              <c:tx>
                <c:rich>
                  <a:bodyPr/>
                  <a:lstStyle/>
                  <a:p>
                    <a:fld id="{A1D28310-1715-4ABA-81E1-0917FFEBFE27}"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3717-4874-BD7F-BCEE1C6FE82B}"/>
                </c:ext>
              </c:extLst>
            </c:dLbl>
            <c:dLbl>
              <c:idx val="1"/>
              <c:tx>
                <c:rich>
                  <a:bodyPr/>
                  <a:lstStyle/>
                  <a:p>
                    <a:fld id="{B653A723-F474-4BB5-BA2E-8B9920EA5AF3}"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3717-4874-BD7F-BCEE1C6FE82B}"/>
                </c:ext>
              </c:extLst>
            </c:dLbl>
            <c:dLbl>
              <c:idx val="2"/>
              <c:tx>
                <c:rich>
                  <a:bodyPr/>
                  <a:lstStyle/>
                  <a:p>
                    <a:fld id="{2FB522CC-A9E3-4C27-AA2F-C9205450F47E}"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717-4874-BD7F-BCEE1C6FE82B}"/>
                </c:ext>
              </c:extLst>
            </c:dLbl>
            <c:dLbl>
              <c:idx val="3"/>
              <c:tx>
                <c:rich>
                  <a:bodyPr/>
                  <a:lstStyle/>
                  <a:p>
                    <a:fld id="{DA5117AF-4A53-43AA-B7DE-CF3B91CF1175}"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3717-4874-BD7F-BCEE1C6FE82B}"/>
                </c:ext>
              </c:extLst>
            </c:dLbl>
            <c:dLbl>
              <c:idx val="4"/>
              <c:tx>
                <c:rich>
                  <a:bodyPr/>
                  <a:lstStyle/>
                  <a:p>
                    <a:fld id="{55605012-2950-457A-A3E0-6CF90BD8E2FF}"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3717-4874-BD7F-BCEE1C6FE82B}"/>
                </c:ext>
              </c:extLst>
            </c:dLbl>
            <c:dLbl>
              <c:idx val="5"/>
              <c:tx>
                <c:rich>
                  <a:bodyPr/>
                  <a:lstStyle/>
                  <a:p>
                    <a:fld id="{18DE0EC2-B110-45DE-9358-F6D947576A48}"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3717-4874-BD7F-BCEE1C6FE82B}"/>
                </c:ext>
              </c:extLst>
            </c:dLbl>
            <c:dLbl>
              <c:idx val="6"/>
              <c:tx>
                <c:rich>
                  <a:bodyPr/>
                  <a:lstStyle/>
                  <a:p>
                    <a:fld id="{FE8B4AD1-50F5-44EA-ABD0-C711741F30EA}"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3717-4874-BD7F-BCEE1C6FE82B}"/>
                </c:ext>
              </c:extLst>
            </c:dLbl>
            <c:dLbl>
              <c:idx val="7"/>
              <c:tx>
                <c:rich>
                  <a:bodyPr/>
                  <a:lstStyle/>
                  <a:p>
                    <a:fld id="{AD971695-EFC7-4E58-B30E-A65636668280}"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3717-4874-BD7F-BCEE1C6FE82B}"/>
                </c:ext>
              </c:extLst>
            </c:dLbl>
            <c:dLbl>
              <c:idx val="8"/>
              <c:tx>
                <c:rich>
                  <a:bodyPr/>
                  <a:lstStyle/>
                  <a:p>
                    <a:fld id="{3FB9BF40-B72C-46E0-A66D-5BB89DF7583B}"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3717-4874-BD7F-BCEE1C6FE82B}"/>
                </c:ext>
              </c:extLst>
            </c:dLbl>
            <c:dLbl>
              <c:idx val="9"/>
              <c:tx>
                <c:rich>
                  <a:bodyPr/>
                  <a:lstStyle/>
                  <a:p>
                    <a:fld id="{68AA96F7-03A6-4CB2-A5AD-85EC51E0058E}"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3717-4874-BD7F-BCEE1C6FE82B}"/>
                </c:ext>
              </c:extLst>
            </c:dLbl>
            <c:dLbl>
              <c:idx val="10"/>
              <c:tx>
                <c:rich>
                  <a:bodyPr/>
                  <a:lstStyle/>
                  <a:p>
                    <a:fld id="{A56F395B-5D38-476D-A595-91BA0AE2FD51}"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3717-4874-BD7F-BCEE1C6FE82B}"/>
                </c:ext>
              </c:extLst>
            </c:dLbl>
            <c:dLbl>
              <c:idx val="11"/>
              <c:tx>
                <c:rich>
                  <a:bodyPr/>
                  <a:lstStyle/>
                  <a:p>
                    <a:fld id="{D4EB3F6A-4F88-4767-8504-D98D8CC4CF32}"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3717-4874-BD7F-BCEE1C6FE82B}"/>
                </c:ext>
              </c:extLst>
            </c:dLbl>
            <c:dLbl>
              <c:idx val="12"/>
              <c:tx>
                <c:rich>
                  <a:bodyPr/>
                  <a:lstStyle/>
                  <a:p>
                    <a:fld id="{2EEC53D9-2B05-40F9-8C3B-94E31DA04A4F}"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3717-4874-BD7F-BCEE1C6FE82B}"/>
                </c:ext>
              </c:extLst>
            </c:dLbl>
            <c:dLbl>
              <c:idx val="13"/>
              <c:tx>
                <c:rich>
                  <a:bodyPr/>
                  <a:lstStyle/>
                  <a:p>
                    <a:fld id="{70306A1D-7931-4C49-B73E-82B56A1AB728}"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3717-4874-BD7F-BCEE1C6FE82B}"/>
                </c:ext>
              </c:extLst>
            </c:dLbl>
            <c:dLbl>
              <c:idx val="14"/>
              <c:tx>
                <c:rich>
                  <a:bodyPr/>
                  <a:lstStyle/>
                  <a:p>
                    <a:fld id="{29798870-9BF0-4DB5-AF04-5EFD223DFDF3}"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3717-4874-BD7F-BCEE1C6FE82B}"/>
                </c:ext>
              </c:extLst>
            </c:dLbl>
            <c:dLbl>
              <c:idx val="15"/>
              <c:tx>
                <c:rich>
                  <a:bodyPr/>
                  <a:lstStyle/>
                  <a:p>
                    <a:fld id="{31546F8B-E0D1-43C9-B4A1-DFF7B14F9ADD}"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3717-4874-BD7F-BCEE1C6FE82B}"/>
                </c:ext>
              </c:extLst>
            </c:dLbl>
            <c:dLbl>
              <c:idx val="16"/>
              <c:tx>
                <c:rich>
                  <a:bodyPr/>
                  <a:lstStyle/>
                  <a:p>
                    <a:endParaRPr lang="de-DE"/>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0-3717-4874-BD7F-BCEE1C6FE82B}"/>
                </c:ext>
              </c:extLst>
            </c:dLbl>
            <c:dLbl>
              <c:idx val="17"/>
              <c:tx>
                <c:rich>
                  <a:bodyPr/>
                  <a:lstStyle/>
                  <a:p>
                    <a:endParaRPr lang="de-DE"/>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1-3717-4874-BD7F-BCEE1C6FE82B}"/>
                </c:ext>
              </c:extLst>
            </c:dLbl>
            <c:dLbl>
              <c:idx val="18"/>
              <c:tx>
                <c:rich>
                  <a:bodyPr/>
                  <a:lstStyle/>
                  <a:p>
                    <a:endParaRPr lang="de-DE"/>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2-3717-4874-BD7F-BCEE1C6FE82B}"/>
                </c:ext>
              </c:extLst>
            </c:dLbl>
            <c:dLbl>
              <c:idx val="19"/>
              <c:tx>
                <c:rich>
                  <a:bodyPr/>
                  <a:lstStyle/>
                  <a:p>
                    <a:endParaRPr lang="de-DE"/>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3-3717-4874-BD7F-BCEE1C6FE82B}"/>
                </c:ext>
              </c:extLst>
            </c:dLbl>
            <c:dLbl>
              <c:idx val="20"/>
              <c:tx>
                <c:rich>
                  <a:bodyPr/>
                  <a:lstStyle/>
                  <a:p>
                    <a:endParaRPr lang="de-DE"/>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4-3717-4874-BD7F-BCEE1C6FE82B}"/>
                </c:ext>
              </c:extLst>
            </c:dLbl>
            <c:dLbl>
              <c:idx val="21"/>
              <c:tx>
                <c:rich>
                  <a:bodyPr/>
                  <a:lstStyle/>
                  <a:p>
                    <a:endParaRPr lang="de-DE"/>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5-3717-4874-BD7F-BCEE1C6FE82B}"/>
                </c:ext>
              </c:extLst>
            </c:dLbl>
            <c:dLbl>
              <c:idx val="22"/>
              <c:tx>
                <c:rich>
                  <a:bodyPr/>
                  <a:lstStyle/>
                  <a:p>
                    <a:fld id="{07324AEA-9E59-4B9A-B8FF-1947ADE2A46E}"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3717-4874-BD7F-BCEE1C6FE82B}"/>
                </c:ext>
              </c:extLst>
            </c:dLbl>
            <c:dLbl>
              <c:idx val="23"/>
              <c:tx>
                <c:rich>
                  <a:bodyPr/>
                  <a:lstStyle/>
                  <a:p>
                    <a:fld id="{C44A3A89-29BC-4A75-A0E9-CB2D1C2DB949}"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3717-4874-BD7F-BCEE1C6FE82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[1]PLyPWx!$B$2:$B$25</c:f>
              <c:numCache>
                <c:formatCode>General</c:formatCode>
                <c:ptCount val="24"/>
                <c:pt idx="0">
                  <c:v>0.50648163570570093</c:v>
                </c:pt>
                <c:pt idx="1">
                  <c:v>0.52736062249612803</c:v>
                </c:pt>
                <c:pt idx="2">
                  <c:v>0.67180035783241399</c:v>
                </c:pt>
                <c:pt idx="3">
                  <c:v>0.98373721098571609</c:v>
                </c:pt>
                <c:pt idx="4">
                  <c:v>1.37320855937311</c:v>
                </c:pt>
                <c:pt idx="5">
                  <c:v>1.4771585230534949</c:v>
                </c:pt>
                <c:pt idx="6">
                  <c:v>1.7559645992717079</c:v>
                </c:pt>
                <c:pt idx="7">
                  <c:v>1.878680255181477</c:v>
                </c:pt>
                <c:pt idx="8">
                  <c:v>1.9599655009881001</c:v>
                </c:pt>
                <c:pt idx="9">
                  <c:v>2.0605502535445002</c:v>
                </c:pt>
                <c:pt idx="10">
                  <c:v>3.0160408681980502</c:v>
                </c:pt>
                <c:pt idx="11">
                  <c:v>3.2078696493167205</c:v>
                </c:pt>
                <c:pt idx="12">
                  <c:v>3.468257479217975</c:v>
                </c:pt>
                <c:pt idx="13">
                  <c:v>6.9976702366522936</c:v>
                </c:pt>
                <c:pt idx="14">
                  <c:v>8.1060757418136973</c:v>
                </c:pt>
                <c:pt idx="15">
                  <c:v>8.850207039337473</c:v>
                </c:pt>
                <c:pt idx="22">
                  <c:v>8.3268244185653693</c:v>
                </c:pt>
                <c:pt idx="23">
                  <c:v>9.4342876770647877</c:v>
                </c:pt>
              </c:numCache>
            </c:numRef>
          </c:xVal>
          <c:yVal>
            <c:numRef>
              <c:f>[1]PLyPWx!$C$2:$C$25</c:f>
              <c:numCache>
                <c:formatCode>General</c:formatCode>
                <c:ptCount val="24"/>
                <c:pt idx="0">
                  <c:v>0.30381019099127343</c:v>
                </c:pt>
                <c:pt idx="1">
                  <c:v>0.30150682490039771</c:v>
                </c:pt>
                <c:pt idx="2">
                  <c:v>0.35845520074974407</c:v>
                </c:pt>
                <c:pt idx="3">
                  <c:v>0.55948042324533065</c:v>
                </c:pt>
                <c:pt idx="4">
                  <c:v>0.72883867014588199</c:v>
                </c:pt>
                <c:pt idx="5">
                  <c:v>0.82827455890159096</c:v>
                </c:pt>
                <c:pt idx="6">
                  <c:v>1.55565252341644</c:v>
                </c:pt>
                <c:pt idx="7">
                  <c:v>1.0997943515538013</c:v>
                </c:pt>
                <c:pt idx="8">
                  <c:v>1.0127044401235901</c:v>
                </c:pt>
                <c:pt idx="9">
                  <c:v>1.3176015390501601</c:v>
                </c:pt>
                <c:pt idx="10">
                  <c:v>1.87516513544874</c:v>
                </c:pt>
                <c:pt idx="11">
                  <c:v>1.9504119774919613</c:v>
                </c:pt>
                <c:pt idx="12">
                  <c:v>1.9902808131895704</c:v>
                </c:pt>
                <c:pt idx="13">
                  <c:v>3.9524931945079183</c:v>
                </c:pt>
                <c:pt idx="14">
                  <c:v>4.9489531591239464</c:v>
                </c:pt>
                <c:pt idx="15">
                  <c:v>5.4695307108350582</c:v>
                </c:pt>
                <c:pt idx="22">
                  <c:v>4.9075906236878808</c:v>
                </c:pt>
                <c:pt idx="23">
                  <c:v>5.2942274943881102</c:v>
                </c:pt>
              </c:numCache>
            </c:numRef>
          </c:yVal>
          <c:smooth val="0"/>
          <c:extLst>
            <c:ext xmlns:c15="http://schemas.microsoft.com/office/drawing/2012/chart" uri="{02D57815-91ED-43cb-92C2-25804820EDAC}">
              <c15:datalabelsRange>
                <c15:f>[1]PLyPWx!$A$2:$A$25</c15:f>
                <c15:dlblRangeCache>
                  <c:ptCount val="24"/>
                  <c:pt idx="0">
                    <c:v>LIM 38</c:v>
                  </c:pt>
                  <c:pt idx="1">
                    <c:v>LIM 12</c:v>
                  </c:pt>
                  <c:pt idx="2">
                    <c:v>LIM 35</c:v>
                  </c:pt>
                  <c:pt idx="3">
                    <c:v>LIM 26</c:v>
                  </c:pt>
                  <c:pt idx="4">
                    <c:v>LIM 9</c:v>
                  </c:pt>
                  <c:pt idx="5">
                    <c:v>LIM 37</c:v>
                  </c:pt>
                  <c:pt idx="6">
                    <c:v>LIM 28</c:v>
                  </c:pt>
                  <c:pt idx="7">
                    <c:v>LIM 13</c:v>
                  </c:pt>
                  <c:pt idx="8">
                    <c:v>LIM 3</c:v>
                  </c:pt>
                  <c:pt idx="9">
                    <c:v>LIM 6</c:v>
                  </c:pt>
                  <c:pt idx="10">
                    <c:v>LIM 48</c:v>
                  </c:pt>
                  <c:pt idx="11">
                    <c:v>LIM 41</c:v>
                  </c:pt>
                  <c:pt idx="12">
                    <c:v>LIM 29</c:v>
                  </c:pt>
                  <c:pt idx="13">
                    <c:v>LIM 50</c:v>
                  </c:pt>
                  <c:pt idx="14">
                    <c:v>LIM 45 E</c:v>
                  </c:pt>
                  <c:pt idx="15">
                    <c:v>LIM 43 E </c:v>
                  </c:pt>
                  <c:pt idx="22">
                    <c:v>LIM 45 CE</c:v>
                  </c:pt>
                  <c:pt idx="23">
                    <c:v>LIM 43  CE</c:v>
                  </c:pt>
                </c15:dlblRangeCache>
              </c15:datalabelsRange>
            </c:ext>
            <c:ext xmlns:c16="http://schemas.microsoft.com/office/drawing/2014/chart" uri="{C3380CC4-5D6E-409C-BE32-E72D297353CC}">
              <c16:uniqueId val="{00000018-3717-4874-BD7F-BCEE1C6FE82B}"/>
            </c:ext>
          </c:extLst>
        </c:ser>
        <c:dLbls>
          <c:dLblPos val="t"/>
          <c:showLegendKey val="0"/>
          <c:showVal val="1"/>
          <c:showCatName val="0"/>
          <c:showSerName val="0"/>
          <c:showPercent val="0"/>
          <c:showBubbleSize val="0"/>
        </c:dLbls>
        <c:axId val="887172751"/>
        <c:axId val="887171311"/>
        <c:extLst>
          <c:ext xmlns:c15="http://schemas.microsoft.com/office/drawing/2012/chart" uri="{02D57815-91ED-43cb-92C2-25804820EDAC}">
            <c15:filteredScatterSeries>
              <c15:ser>
                <c:idx val="1"/>
                <c:order val="1"/>
                <c:spPr>
                  <a:ln w="25400" cap="rnd">
                    <a:no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extLst>
                      <c:ext uri="{02D57815-91ED-43cb-92C2-25804820EDAC}">
                        <c15:formulaRef>
                          <c15:sqref>[1]PLyPWx!$A$2:$A$25</c15:sqref>
                        </c15:formulaRef>
                      </c:ext>
                    </c:extLst>
                    <c:strCache>
                      <c:ptCount val="24"/>
                      <c:pt idx="0">
                        <c:v>LIM 38</c:v>
                      </c:pt>
                      <c:pt idx="1">
                        <c:v>LIM 12</c:v>
                      </c:pt>
                      <c:pt idx="2">
                        <c:v>LIM 35</c:v>
                      </c:pt>
                      <c:pt idx="3">
                        <c:v>LIM 26</c:v>
                      </c:pt>
                      <c:pt idx="4">
                        <c:v>LIM 9</c:v>
                      </c:pt>
                      <c:pt idx="5">
                        <c:v>LIM 37</c:v>
                      </c:pt>
                      <c:pt idx="6">
                        <c:v>LIM 28</c:v>
                      </c:pt>
                      <c:pt idx="7">
                        <c:v>LIM 13</c:v>
                      </c:pt>
                      <c:pt idx="8">
                        <c:v>LIM 3</c:v>
                      </c:pt>
                      <c:pt idx="9">
                        <c:v>LIM 6</c:v>
                      </c:pt>
                      <c:pt idx="10">
                        <c:v>LIM 48</c:v>
                      </c:pt>
                      <c:pt idx="11">
                        <c:v>LIM 41</c:v>
                      </c:pt>
                      <c:pt idx="12">
                        <c:v>LIM 29</c:v>
                      </c:pt>
                      <c:pt idx="13">
                        <c:v>LIM 50</c:v>
                      </c:pt>
                      <c:pt idx="14">
                        <c:v>LIM 45 E</c:v>
                      </c:pt>
                      <c:pt idx="15">
                        <c:v>LIM 43 E </c:v>
                      </c:pt>
                      <c:pt idx="22">
                        <c:v>LIM 45 CE</c:v>
                      </c:pt>
                      <c:pt idx="23">
                        <c:v>LIM 43  CE</c:v>
                      </c:pt>
                    </c:strCache>
                  </c:strRef>
                </c:xVal>
                <c:yVal>
                  <c:numRef>
                    <c:extLst>
                      <c:ext uri="{02D57815-91ED-43cb-92C2-25804820EDAC}">
                        <c15:formulaRef>
                          <c15:sqref>[1]PLyPWx!$B$2:$B$25</c15:sqref>
                        </c15:formulaRef>
                      </c:ext>
                    </c:extLst>
                    <c:numCache>
                      <c:formatCode>General</c:formatCode>
                      <c:ptCount val="24"/>
                      <c:pt idx="0">
                        <c:v>0.50648163570570093</c:v>
                      </c:pt>
                      <c:pt idx="1">
                        <c:v>0.52736062249612803</c:v>
                      </c:pt>
                      <c:pt idx="2">
                        <c:v>0.67180035783241399</c:v>
                      </c:pt>
                      <c:pt idx="3">
                        <c:v>0.98373721098571609</c:v>
                      </c:pt>
                      <c:pt idx="4">
                        <c:v>1.37320855937311</c:v>
                      </c:pt>
                      <c:pt idx="5">
                        <c:v>1.4771585230534949</c:v>
                      </c:pt>
                      <c:pt idx="6">
                        <c:v>1.7559645992717079</c:v>
                      </c:pt>
                      <c:pt idx="7">
                        <c:v>1.878680255181477</c:v>
                      </c:pt>
                      <c:pt idx="8">
                        <c:v>1.9599655009881001</c:v>
                      </c:pt>
                      <c:pt idx="9">
                        <c:v>2.0605502535445002</c:v>
                      </c:pt>
                      <c:pt idx="10">
                        <c:v>3.0160408681980502</c:v>
                      </c:pt>
                      <c:pt idx="11">
                        <c:v>3.2078696493167205</c:v>
                      </c:pt>
                      <c:pt idx="12">
                        <c:v>3.468257479217975</c:v>
                      </c:pt>
                      <c:pt idx="13">
                        <c:v>6.9976702366522936</c:v>
                      </c:pt>
                      <c:pt idx="14">
                        <c:v>8.1060757418136973</c:v>
                      </c:pt>
                      <c:pt idx="15">
                        <c:v>8.850207039337473</c:v>
                      </c:pt>
                      <c:pt idx="22">
                        <c:v>8.3268244185653693</c:v>
                      </c:pt>
                      <c:pt idx="23">
                        <c:v>9.4342876770647877</c:v>
                      </c:pt>
                    </c:numCache>
                  </c:numRef>
                </c:yVal>
                <c:smooth val="0"/>
                <c:extLst>
                  <c:ext xmlns:c16="http://schemas.microsoft.com/office/drawing/2014/chart" uri="{C3380CC4-5D6E-409C-BE32-E72D297353CC}">
                    <c16:uniqueId val="{00000019-3717-4874-BD7F-BCEE1C6FE82B}"/>
                  </c:ext>
                </c:extLst>
              </c15:ser>
            </c15:filteredScatterSeries>
          </c:ext>
        </c:extLst>
      </c:scatterChart>
      <c:valAx>
        <c:axId val="8871727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Prosomal width (cm)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87171311"/>
        <c:crosses val="autoZero"/>
        <c:crossBetween val="midCat"/>
      </c:valAx>
      <c:valAx>
        <c:axId val="887171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Prosomal length (cm)</a:t>
                </a:r>
              </a:p>
            </c:rich>
          </c:tx>
          <c:layout>
            <c:manualLayout>
              <c:xMode val="edge"/>
              <c:yMode val="edge"/>
              <c:x val="3.4936702824982402E-2"/>
              <c:y val="0.3918297593972913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871727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4.6057707718608988E-2"/>
          <c:y val="7.5612661683794741E-2"/>
          <c:w val="0.92997497780827998"/>
          <c:h val="0.86223764308393969"/>
        </c:manualLayout>
      </c:layout>
      <c:scatterChart>
        <c:scatterStyle val="lineMarker"/>
        <c:varyColors val="0"/>
        <c:ser>
          <c:idx val="0"/>
          <c:order val="0"/>
          <c:spPr>
            <a:ln w="25400" cap="rnd">
              <a:noFill/>
              <a:round/>
            </a:ln>
            <a:effectLst/>
          </c:spPr>
          <c:marker>
            <c:symbol val="circle"/>
            <c:size val="5"/>
            <c:spPr>
              <a:solidFill>
                <a:schemeClr val="accent2">
                  <a:lumMod val="75000"/>
                </a:schemeClr>
              </a:solidFill>
              <a:ln w="9525">
                <a:solidFill>
                  <a:schemeClr val="accent2">
                    <a:lumMod val="75000"/>
                  </a:schemeClr>
                </a:solidFill>
              </a:ln>
              <a:effectLst/>
            </c:spPr>
          </c:marker>
          <c:dLbls>
            <c:dLbl>
              <c:idx val="0"/>
              <c:tx>
                <c:rich>
                  <a:bodyPr/>
                  <a:lstStyle/>
                  <a:p>
                    <a:fld id="{E3084FFF-8B55-4DCA-9873-5C7A24694763}"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4CBF-4CD3-BE91-17F6181D5859}"/>
                </c:ext>
              </c:extLst>
            </c:dLbl>
            <c:dLbl>
              <c:idx val="1"/>
              <c:tx>
                <c:rich>
                  <a:bodyPr/>
                  <a:lstStyle/>
                  <a:p>
                    <a:fld id="{F743BD30-F2F6-4601-9E6D-4190ECDD891E}"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4CBF-4CD3-BE91-17F6181D5859}"/>
                </c:ext>
              </c:extLst>
            </c:dLbl>
            <c:dLbl>
              <c:idx val="2"/>
              <c:tx>
                <c:rich>
                  <a:bodyPr/>
                  <a:lstStyle/>
                  <a:p>
                    <a:fld id="{13C0AB04-1DD9-433E-A993-E50878CC4512}"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4CBF-4CD3-BE91-17F6181D5859}"/>
                </c:ext>
              </c:extLst>
            </c:dLbl>
            <c:dLbl>
              <c:idx val="3"/>
              <c:tx>
                <c:rich>
                  <a:bodyPr/>
                  <a:lstStyle/>
                  <a:p>
                    <a:fld id="{EF396916-B5B3-4DD2-AB74-030CC0307899}"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4CBF-4CD3-BE91-17F6181D5859}"/>
                </c:ext>
              </c:extLst>
            </c:dLbl>
            <c:dLbl>
              <c:idx val="4"/>
              <c:tx>
                <c:rich>
                  <a:bodyPr/>
                  <a:lstStyle/>
                  <a:p>
                    <a:fld id="{E3ADFDC8-D83D-4A5B-A39B-3C059FFBAF23}"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4CBF-4CD3-BE91-17F6181D5859}"/>
                </c:ext>
              </c:extLst>
            </c:dLbl>
            <c:dLbl>
              <c:idx val="5"/>
              <c:tx>
                <c:rich>
                  <a:bodyPr/>
                  <a:lstStyle/>
                  <a:p>
                    <a:fld id="{40768B9D-73CA-4447-9AFB-0073B296E6C9}"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4CBF-4CD3-BE91-17F6181D5859}"/>
                </c:ext>
              </c:extLst>
            </c:dLbl>
            <c:dLbl>
              <c:idx val="6"/>
              <c:tx>
                <c:rich>
                  <a:bodyPr/>
                  <a:lstStyle/>
                  <a:p>
                    <a:fld id="{B5EF1E81-9030-4F22-A791-85807D9B163E}"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4CBF-4CD3-BE91-17F6181D5859}"/>
                </c:ext>
              </c:extLst>
            </c:dLbl>
            <c:dLbl>
              <c:idx val="7"/>
              <c:tx>
                <c:rich>
                  <a:bodyPr/>
                  <a:lstStyle/>
                  <a:p>
                    <a:fld id="{AF2ABE92-AD57-46DE-A0B6-29A53433D491}"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4CBF-4CD3-BE91-17F6181D5859}"/>
                </c:ext>
              </c:extLst>
            </c:dLbl>
            <c:dLbl>
              <c:idx val="8"/>
              <c:tx>
                <c:rich>
                  <a:bodyPr/>
                  <a:lstStyle/>
                  <a:p>
                    <a:fld id="{12E08AD8-762A-468F-B780-FBF6B1A8EC3E}"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4CBF-4CD3-BE91-17F6181D5859}"/>
                </c:ext>
              </c:extLst>
            </c:dLbl>
            <c:dLbl>
              <c:idx val="9"/>
              <c:tx>
                <c:rich>
                  <a:bodyPr/>
                  <a:lstStyle/>
                  <a:p>
                    <a:fld id="{829FF78D-40E7-4785-B8C5-BF4E6E6C26DA}"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4CBF-4CD3-BE91-17F6181D5859}"/>
                </c:ext>
              </c:extLst>
            </c:dLbl>
            <c:dLbl>
              <c:idx val="10"/>
              <c:tx>
                <c:rich>
                  <a:bodyPr/>
                  <a:lstStyle/>
                  <a:p>
                    <a:fld id="{77AF2867-6A59-4210-AA60-83688B3BDF9F}"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4CBF-4CD3-BE91-17F6181D5859}"/>
                </c:ext>
              </c:extLst>
            </c:dLbl>
            <c:dLbl>
              <c:idx val="11"/>
              <c:tx>
                <c:rich>
                  <a:bodyPr/>
                  <a:lstStyle/>
                  <a:p>
                    <a:fld id="{C7791990-44B4-4471-A216-19606D89FECA}"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4CBF-4CD3-BE91-17F6181D5859}"/>
                </c:ext>
              </c:extLst>
            </c:dLbl>
            <c:dLbl>
              <c:idx val="12"/>
              <c:tx>
                <c:rich>
                  <a:bodyPr/>
                  <a:lstStyle/>
                  <a:p>
                    <a:fld id="{6E0FA798-8AAC-45B3-9341-359E4BC5CE90}"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4CBF-4CD3-BE91-17F6181D5859}"/>
                </c:ext>
              </c:extLst>
            </c:dLbl>
            <c:dLbl>
              <c:idx val="13"/>
              <c:tx>
                <c:rich>
                  <a:bodyPr/>
                  <a:lstStyle/>
                  <a:p>
                    <a:fld id="{CBBD2576-B7D3-4C5B-AC41-AD3AF37B7B96}"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4CBF-4CD3-BE91-17F6181D5859}"/>
                </c:ext>
              </c:extLst>
            </c:dLbl>
            <c:dLbl>
              <c:idx val="14"/>
              <c:tx>
                <c:rich>
                  <a:bodyPr/>
                  <a:lstStyle/>
                  <a:p>
                    <a:fld id="{9A88661F-EC86-4C39-A403-C99AB466DA7F}"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4CBF-4CD3-BE91-17F6181D5859}"/>
                </c:ext>
              </c:extLst>
            </c:dLbl>
            <c:dLbl>
              <c:idx val="15"/>
              <c:tx>
                <c:rich>
                  <a:bodyPr/>
                  <a:lstStyle/>
                  <a:p>
                    <a:fld id="{F8E9A77A-88CD-4C4F-81D0-B108345FE0CF}"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4CBF-4CD3-BE91-17F6181D5859}"/>
                </c:ext>
              </c:extLst>
            </c:dLbl>
            <c:dLbl>
              <c:idx val="16"/>
              <c:tx>
                <c:rich>
                  <a:bodyPr/>
                  <a:lstStyle/>
                  <a:p>
                    <a:fld id="{E861A9D0-1AFB-4343-8FDD-8ACE15D0C12C}"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0-4CBF-4CD3-BE91-17F6181D585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[1]OLyOWx!$D$2:$D$18</c:f>
              <c:numCache>
                <c:formatCode>General</c:formatCode>
                <c:ptCount val="17"/>
                <c:pt idx="0">
                  <c:v>0.30729713312274592</c:v>
                </c:pt>
                <c:pt idx="1">
                  <c:v>0.39812155982293174</c:v>
                </c:pt>
                <c:pt idx="2">
                  <c:v>0.34295256049825262</c:v>
                </c:pt>
                <c:pt idx="3">
                  <c:v>0.57378147724192985</c:v>
                </c:pt>
                <c:pt idx="4">
                  <c:v>0.71095778247591002</c:v>
                </c:pt>
                <c:pt idx="5">
                  <c:v>0.73894384479461928</c:v>
                </c:pt>
                <c:pt idx="6">
                  <c:v>1.200107524084526</c:v>
                </c:pt>
                <c:pt idx="7">
                  <c:v>1.4415657551754022</c:v>
                </c:pt>
                <c:pt idx="8">
                  <c:v>1.1615006397446157</c:v>
                </c:pt>
                <c:pt idx="9">
                  <c:v>1.6483488896041198</c:v>
                </c:pt>
                <c:pt idx="10">
                  <c:v>1.5366457824726054</c:v>
                </c:pt>
                <c:pt idx="11">
                  <c:v>1.5250415536251301</c:v>
                </c:pt>
                <c:pt idx="12">
                  <c:v>1.821339303657556</c:v>
                </c:pt>
                <c:pt idx="13">
                  <c:v>1.683957577193792</c:v>
                </c:pt>
                <c:pt idx="14">
                  <c:v>3.1683241599936416</c:v>
                </c:pt>
                <c:pt idx="15">
                  <c:v>4.090174852680704</c:v>
                </c:pt>
                <c:pt idx="16">
                  <c:v>4.553747476765575</c:v>
                </c:pt>
              </c:numCache>
            </c:numRef>
          </c:xVal>
          <c:yVal>
            <c:numRef>
              <c:f>[1]OLyOWx!$E$2:$E$18</c:f>
              <c:numCache>
                <c:formatCode>General</c:formatCode>
                <c:ptCount val="17"/>
                <c:pt idx="0">
                  <c:v>0.2151099734869924</c:v>
                </c:pt>
                <c:pt idx="1">
                  <c:v>0.21891015910462699</c:v>
                </c:pt>
                <c:pt idx="2">
                  <c:v>0.28072010372576683</c:v>
                </c:pt>
                <c:pt idx="3">
                  <c:v>0.44116224366224083</c:v>
                </c:pt>
                <c:pt idx="4">
                  <c:v>0.73059133212552796</c:v>
                </c:pt>
                <c:pt idx="5">
                  <c:v>0.82127441277210955</c:v>
                </c:pt>
                <c:pt idx="6">
                  <c:v>0.90167727009832199</c:v>
                </c:pt>
                <c:pt idx="7">
                  <c:v>0.98138743605566725</c:v>
                </c:pt>
                <c:pt idx="8">
                  <c:v>1.12225498209143</c:v>
                </c:pt>
                <c:pt idx="9">
                  <c:v>1.1459462504023175</c:v>
                </c:pt>
                <c:pt idx="10">
                  <c:v>1.2214678342194893</c:v>
                </c:pt>
                <c:pt idx="11">
                  <c:v>1.4824697880100599</c:v>
                </c:pt>
                <c:pt idx="12">
                  <c:v>1.5088204632234727</c:v>
                </c:pt>
                <c:pt idx="13">
                  <c:v>1.7400251942577047</c:v>
                </c:pt>
                <c:pt idx="14">
                  <c:v>3.3057106523337376</c:v>
                </c:pt>
                <c:pt idx="15">
                  <c:v>3.7633166508206926</c:v>
                </c:pt>
                <c:pt idx="16">
                  <c:v>3.8322264400520831</c:v>
                </c:pt>
              </c:numCache>
            </c:numRef>
          </c:yVal>
          <c:smooth val="0"/>
          <c:extLst>
            <c:ext xmlns:c15="http://schemas.microsoft.com/office/drawing/2012/chart" uri="{02D57815-91ED-43cb-92C2-25804820EDAC}">
              <c15:datalabelsRange>
                <c15:f>[1]OLyOWx!$A$2:$A$18</c15:f>
                <c15:dlblRangeCache>
                  <c:ptCount val="17"/>
                  <c:pt idx="0">
                    <c:v>LIM 12</c:v>
                  </c:pt>
                  <c:pt idx="1">
                    <c:v>LIM 35</c:v>
                  </c:pt>
                  <c:pt idx="2">
                    <c:v>LIM 38</c:v>
                  </c:pt>
                  <c:pt idx="3">
                    <c:v>LIM 26</c:v>
                  </c:pt>
                  <c:pt idx="4">
                    <c:v>LIM 9</c:v>
                  </c:pt>
                  <c:pt idx="5">
                    <c:v>LIM 7</c:v>
                  </c:pt>
                  <c:pt idx="6">
                    <c:v>LIM 4</c:v>
                  </c:pt>
                  <c:pt idx="7">
                    <c:v>LIM 20</c:v>
                  </c:pt>
                  <c:pt idx="8">
                    <c:v>LIM 14</c:v>
                  </c:pt>
                  <c:pt idx="9">
                    <c:v>LIM 19</c:v>
                  </c:pt>
                  <c:pt idx="10">
                    <c:v>LIM 33</c:v>
                  </c:pt>
                  <c:pt idx="11">
                    <c:v>LIM 31</c:v>
                  </c:pt>
                  <c:pt idx="12">
                    <c:v>LIM 41</c:v>
                  </c:pt>
                  <c:pt idx="13">
                    <c:v>LIM 11(?)/ LIM 22, 23, 24???</c:v>
                  </c:pt>
                  <c:pt idx="14">
                    <c:v>LIM 50</c:v>
                  </c:pt>
                  <c:pt idx="15">
                    <c:v>LIM 45 CE</c:v>
                  </c:pt>
                  <c:pt idx="16">
                    <c:v>LIM 45 E</c:v>
                  </c:pt>
                </c15:dlblRangeCache>
              </c15:datalabelsRange>
            </c:ext>
            <c:ext xmlns:c16="http://schemas.microsoft.com/office/drawing/2014/chart" uri="{C3380CC4-5D6E-409C-BE32-E72D297353CC}">
              <c16:uniqueId val="{00000011-4CBF-4CD3-BE91-17F6181D5859}"/>
            </c:ext>
          </c:extLst>
        </c:ser>
        <c:dLbls>
          <c:showLegendKey val="0"/>
          <c:showVal val="1"/>
          <c:showCatName val="0"/>
          <c:showSerName val="0"/>
          <c:showPercent val="0"/>
          <c:showBubbleSize val="0"/>
        </c:dLbls>
        <c:axId val="1079551279"/>
        <c:axId val="1079564239"/>
      </c:scatterChart>
      <c:valAx>
        <c:axId val="1079551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79564239"/>
        <c:crosses val="autoZero"/>
        <c:crossBetween val="midCat"/>
      </c:valAx>
      <c:valAx>
        <c:axId val="1079564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79551279"/>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spPr>
            <a:ln w="25400" cap="rnd">
              <a:noFill/>
              <a:round/>
            </a:ln>
            <a:effectLst/>
          </c:spPr>
          <c:marker>
            <c:symbol val="circle"/>
            <c:size val="5"/>
            <c:spPr>
              <a:solidFill>
                <a:schemeClr val="accent6"/>
              </a:solidFill>
              <a:ln w="9525">
                <a:solidFill>
                  <a:schemeClr val="accent6"/>
                </a:solidFill>
              </a:ln>
              <a:effectLst/>
            </c:spPr>
          </c:marker>
          <c:dLbls>
            <c:dLbl>
              <c:idx val="0"/>
              <c:tx>
                <c:rich>
                  <a:bodyPr/>
                  <a:lstStyle/>
                  <a:p>
                    <a:fld id="{047941CB-62C0-4B5A-BBEE-7BA5BA02E547}"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9F3A-454F-8066-C89E080295FB}"/>
                </c:ext>
              </c:extLst>
            </c:dLbl>
            <c:dLbl>
              <c:idx val="1"/>
              <c:tx>
                <c:rich>
                  <a:bodyPr/>
                  <a:lstStyle/>
                  <a:p>
                    <a:fld id="{F803B2B7-0020-409D-957A-564A98D167D2}"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9F3A-454F-8066-C89E080295FB}"/>
                </c:ext>
              </c:extLst>
            </c:dLbl>
            <c:dLbl>
              <c:idx val="2"/>
              <c:tx>
                <c:rich>
                  <a:bodyPr/>
                  <a:lstStyle/>
                  <a:p>
                    <a:fld id="{97CE9BA8-E49E-4BDD-8E2E-4CEAA0D553D0}"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9F3A-454F-8066-C89E080295FB}"/>
                </c:ext>
              </c:extLst>
            </c:dLbl>
            <c:dLbl>
              <c:idx val="3"/>
              <c:tx>
                <c:rich>
                  <a:bodyPr/>
                  <a:lstStyle/>
                  <a:p>
                    <a:fld id="{03B6F12F-5C0C-4B04-8201-1C95DBDBE188}"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9F3A-454F-8066-C89E080295FB}"/>
                </c:ext>
              </c:extLst>
            </c:dLbl>
            <c:dLbl>
              <c:idx val="4"/>
              <c:tx>
                <c:rich>
                  <a:bodyPr/>
                  <a:lstStyle/>
                  <a:p>
                    <a:fld id="{9FB6CC71-89C2-4B12-8E89-953CB2AD041A}"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9F3A-454F-8066-C89E080295FB}"/>
                </c:ext>
              </c:extLst>
            </c:dLbl>
            <c:dLbl>
              <c:idx val="5"/>
              <c:tx>
                <c:rich>
                  <a:bodyPr/>
                  <a:lstStyle/>
                  <a:p>
                    <a:fld id="{7E2E7013-152B-4EDD-AA2C-5B3FE392F324}"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9F3A-454F-8066-C89E080295FB}"/>
                </c:ext>
              </c:extLst>
            </c:dLbl>
            <c:dLbl>
              <c:idx val="6"/>
              <c:tx>
                <c:rich>
                  <a:bodyPr/>
                  <a:lstStyle/>
                  <a:p>
                    <a:fld id="{488D1346-B3D7-4CA3-A568-1F2108AB0461}"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9F3A-454F-8066-C89E080295FB}"/>
                </c:ext>
              </c:extLst>
            </c:dLbl>
            <c:dLbl>
              <c:idx val="7"/>
              <c:tx>
                <c:rich>
                  <a:bodyPr/>
                  <a:lstStyle/>
                  <a:p>
                    <a:fld id="{624D6231-1A0E-472E-91BC-4DBD6BD75668}"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9F3A-454F-8066-C89E080295FB}"/>
                </c:ext>
              </c:extLst>
            </c:dLbl>
            <c:dLbl>
              <c:idx val="8"/>
              <c:tx>
                <c:rich>
                  <a:bodyPr/>
                  <a:lstStyle/>
                  <a:p>
                    <a:fld id="{4AC284D5-4A25-4F9E-ADB2-63FA3A302FAF}"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9F3A-454F-8066-C89E080295FB}"/>
                </c:ext>
              </c:extLst>
            </c:dLbl>
            <c:dLbl>
              <c:idx val="9"/>
              <c:tx>
                <c:rich>
                  <a:bodyPr/>
                  <a:lstStyle/>
                  <a:p>
                    <a:fld id="{B6D824A9-90A3-4E2C-BA94-58D1CFC6AC2F}"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9F3A-454F-8066-C89E080295FB}"/>
                </c:ext>
              </c:extLst>
            </c:dLbl>
            <c:dLbl>
              <c:idx val="10"/>
              <c:tx>
                <c:rich>
                  <a:bodyPr/>
                  <a:lstStyle/>
                  <a:p>
                    <a:fld id="{52587ADD-A37F-430E-80B7-CCD1771963DC}"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9F3A-454F-8066-C89E080295FB}"/>
                </c:ext>
              </c:extLst>
            </c:dLbl>
            <c:dLbl>
              <c:idx val="11"/>
              <c:tx>
                <c:rich>
                  <a:bodyPr/>
                  <a:lstStyle/>
                  <a:p>
                    <a:fld id="{46D0BABD-79AF-4E0D-A63D-495AEBA23DCF}"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9F3A-454F-8066-C89E080295FB}"/>
                </c:ext>
              </c:extLst>
            </c:dLbl>
            <c:dLbl>
              <c:idx val="12"/>
              <c:tx>
                <c:rich>
                  <a:bodyPr/>
                  <a:lstStyle/>
                  <a:p>
                    <a:fld id="{30DF3821-7222-488A-9A9D-3A2DFEF3C58C}"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9F3A-454F-8066-C89E080295F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[1]PWyOWx!$D$2:$D$14</c:f>
              <c:numCache>
                <c:formatCode>General</c:formatCode>
                <c:ptCount val="13"/>
                <c:pt idx="0">
                  <c:v>0.30729713312274592</c:v>
                </c:pt>
                <c:pt idx="1">
                  <c:v>0.34295256049825262</c:v>
                </c:pt>
                <c:pt idx="2">
                  <c:v>0.39812155982293174</c:v>
                </c:pt>
                <c:pt idx="3">
                  <c:v>0.57378147724192985</c:v>
                </c:pt>
                <c:pt idx="4">
                  <c:v>0.71095778247591002</c:v>
                </c:pt>
                <c:pt idx="5">
                  <c:v>1.5250415536251301</c:v>
                </c:pt>
                <c:pt idx="6">
                  <c:v>1.6139474970285321</c:v>
                </c:pt>
                <c:pt idx="7">
                  <c:v>1.821339303657556</c:v>
                </c:pt>
                <c:pt idx="8">
                  <c:v>3.1683241599936416</c:v>
                </c:pt>
                <c:pt idx="9">
                  <c:v>4.090174852680704</c:v>
                </c:pt>
                <c:pt idx="10">
                  <c:v>4.2861145617667358</c:v>
                </c:pt>
                <c:pt idx="11">
                  <c:v>4.4100114172923597</c:v>
                </c:pt>
                <c:pt idx="12">
                  <c:v>4.553747476765575</c:v>
                </c:pt>
              </c:numCache>
            </c:numRef>
          </c:xVal>
          <c:yVal>
            <c:numRef>
              <c:f>[1]PWyOWx!$B$2:$B$14</c:f>
              <c:numCache>
                <c:formatCode>General</c:formatCode>
                <c:ptCount val="13"/>
                <c:pt idx="0">
                  <c:v>0.52736062249612803</c:v>
                </c:pt>
                <c:pt idx="1">
                  <c:v>0.50648163570570093</c:v>
                </c:pt>
                <c:pt idx="2">
                  <c:v>0.67180035783241399</c:v>
                </c:pt>
                <c:pt idx="3">
                  <c:v>0.98373721098571609</c:v>
                </c:pt>
                <c:pt idx="4">
                  <c:v>1.37320855937311</c:v>
                </c:pt>
                <c:pt idx="5">
                  <c:v>3.4089060714292998</c:v>
                </c:pt>
                <c:pt idx="6">
                  <c:v>3.468257479217975</c:v>
                </c:pt>
                <c:pt idx="7">
                  <c:v>3.2078696493167205</c:v>
                </c:pt>
                <c:pt idx="8">
                  <c:v>6.9976702366522936</c:v>
                </c:pt>
                <c:pt idx="9">
                  <c:v>8.3268244185653693</c:v>
                </c:pt>
                <c:pt idx="10">
                  <c:v>8.850207039337473</c:v>
                </c:pt>
                <c:pt idx="11">
                  <c:v>9.4342876770647877</c:v>
                </c:pt>
                <c:pt idx="12">
                  <c:v>8.1060757418136973</c:v>
                </c:pt>
              </c:numCache>
            </c:numRef>
          </c:yVal>
          <c:smooth val="0"/>
          <c:extLst>
            <c:ext xmlns:c15="http://schemas.microsoft.com/office/drawing/2012/chart" uri="{02D57815-91ED-43cb-92C2-25804820EDAC}">
              <c15:datalabelsRange>
                <c15:f>[1]PWyOWx!$A$2:$A$14</c15:f>
                <c15:dlblRangeCache>
                  <c:ptCount val="13"/>
                  <c:pt idx="0">
                    <c:v>LIM 12</c:v>
                  </c:pt>
                  <c:pt idx="1">
                    <c:v>LIM 38</c:v>
                  </c:pt>
                  <c:pt idx="2">
                    <c:v>LIM 35</c:v>
                  </c:pt>
                  <c:pt idx="3">
                    <c:v>LIM 26</c:v>
                  </c:pt>
                  <c:pt idx="4">
                    <c:v>LIM 9</c:v>
                  </c:pt>
                  <c:pt idx="5">
                    <c:v>LIM 31</c:v>
                  </c:pt>
                  <c:pt idx="6">
                    <c:v>LIM 29</c:v>
                  </c:pt>
                  <c:pt idx="7">
                    <c:v>LIM 41</c:v>
                  </c:pt>
                  <c:pt idx="8">
                    <c:v>LIM 50</c:v>
                  </c:pt>
                  <c:pt idx="9">
                    <c:v>LIM 45 CE</c:v>
                  </c:pt>
                  <c:pt idx="10">
                    <c:v>LIM 43 E </c:v>
                  </c:pt>
                  <c:pt idx="11">
                    <c:v>LIM 43  CE</c:v>
                  </c:pt>
                  <c:pt idx="12">
                    <c:v>LIM 45 E</c:v>
                  </c:pt>
                </c15:dlblRangeCache>
              </c15:datalabelsRange>
            </c:ext>
            <c:ext xmlns:c16="http://schemas.microsoft.com/office/drawing/2014/chart" uri="{C3380CC4-5D6E-409C-BE32-E72D297353CC}">
              <c16:uniqueId val="{0000000D-9F3A-454F-8066-C89E080295FB}"/>
            </c:ext>
          </c:extLst>
        </c:ser>
        <c:dLbls>
          <c:showLegendKey val="0"/>
          <c:showVal val="1"/>
          <c:showCatName val="0"/>
          <c:showSerName val="0"/>
          <c:showPercent val="0"/>
          <c:showBubbleSize val="0"/>
        </c:dLbls>
        <c:axId val="888383119"/>
        <c:axId val="888385039"/>
      </c:scatterChart>
      <c:valAx>
        <c:axId val="8883831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88385039"/>
        <c:crosses val="autoZero"/>
        <c:crossBetween val="midCat"/>
      </c:valAx>
      <c:valAx>
        <c:axId val="888385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883831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0"/>
    <c:plotArea>
      <c:layout>
        <c:manualLayout>
          <c:layoutTarget val="inner"/>
          <c:xMode val="edge"/>
          <c:yMode val="edge"/>
          <c:x val="6.68997859829117E-2"/>
          <c:y val="2.3082714788678727E-2"/>
          <c:w val="0.90272650091526785"/>
          <c:h val="0.90646626625923854"/>
        </c:manualLayout>
      </c:layout>
      <c:scatterChart>
        <c:scatterStyle val="lineMarker"/>
        <c:varyColors val="0"/>
        <c:ser>
          <c:idx val="0"/>
          <c:order val="0"/>
          <c:spPr>
            <a:ln w="25400" cap="rnd">
              <a:noFill/>
              <a:round/>
            </a:ln>
            <a:effectLst/>
          </c:spPr>
          <c:marker>
            <c:symbol val="circle"/>
            <c:size val="5"/>
            <c:spPr>
              <a:solidFill>
                <a:schemeClr val="accent2"/>
              </a:solidFill>
              <a:ln w="9525">
                <a:solidFill>
                  <a:schemeClr val="accent2"/>
                </a:solidFill>
              </a:ln>
              <a:effectLst/>
            </c:spPr>
          </c:marker>
          <c:dLbls>
            <c:dLbl>
              <c:idx val="0"/>
              <c:tx>
                <c:rich>
                  <a:bodyPr/>
                  <a:lstStyle/>
                  <a:p>
                    <a:fld id="{EFA547A0-0506-471D-AE3B-76A9895E4E51}"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40CE-4934-A811-A17492FA6528}"/>
                </c:ext>
              </c:extLst>
            </c:dLbl>
            <c:dLbl>
              <c:idx val="1"/>
              <c:tx>
                <c:rich>
                  <a:bodyPr/>
                  <a:lstStyle/>
                  <a:p>
                    <a:fld id="{0E0B4586-4958-4A09-B8CC-98B36DBB6A68}"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40CE-4934-A811-A17492FA6528}"/>
                </c:ext>
              </c:extLst>
            </c:dLbl>
            <c:dLbl>
              <c:idx val="2"/>
              <c:tx>
                <c:rich>
                  <a:bodyPr/>
                  <a:lstStyle/>
                  <a:p>
                    <a:fld id="{EB87094B-0E7B-4082-BC2A-2276847E9C60}"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40CE-4934-A811-A17492FA6528}"/>
                </c:ext>
              </c:extLst>
            </c:dLbl>
            <c:dLbl>
              <c:idx val="3"/>
              <c:tx>
                <c:rich>
                  <a:bodyPr/>
                  <a:lstStyle/>
                  <a:p>
                    <a:fld id="{677A664C-753C-4BC3-9964-88B89AD56292}"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40CE-4934-A811-A17492FA6528}"/>
                </c:ext>
              </c:extLst>
            </c:dLbl>
            <c:dLbl>
              <c:idx val="4"/>
              <c:tx>
                <c:rich>
                  <a:bodyPr/>
                  <a:lstStyle/>
                  <a:p>
                    <a:fld id="{951BAA59-2DDD-4056-B16F-D01347C7F746}"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40CE-4934-A811-A17492FA6528}"/>
                </c:ext>
              </c:extLst>
            </c:dLbl>
            <c:dLbl>
              <c:idx val="5"/>
              <c:tx>
                <c:rich>
                  <a:bodyPr/>
                  <a:lstStyle/>
                  <a:p>
                    <a:fld id="{AFD7224B-AF41-42AE-B745-F50342CBAB62}"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40CE-4934-A811-A17492FA6528}"/>
                </c:ext>
              </c:extLst>
            </c:dLbl>
            <c:dLbl>
              <c:idx val="6"/>
              <c:tx>
                <c:rich>
                  <a:bodyPr/>
                  <a:lstStyle/>
                  <a:p>
                    <a:fld id="{ADD17616-4202-4271-82E5-1E1F9BF2560A}"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40CE-4934-A811-A17492FA6528}"/>
                </c:ext>
              </c:extLst>
            </c:dLbl>
            <c:dLbl>
              <c:idx val="7"/>
              <c:tx>
                <c:rich>
                  <a:bodyPr/>
                  <a:lstStyle/>
                  <a:p>
                    <a:fld id="{C1453335-D112-4BB5-814C-45173905EB31}"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40CE-4934-A811-A17492FA6528}"/>
                </c:ext>
              </c:extLst>
            </c:dLbl>
            <c:dLbl>
              <c:idx val="8"/>
              <c:tx>
                <c:rich>
                  <a:bodyPr/>
                  <a:lstStyle/>
                  <a:p>
                    <a:fld id="{E15A25BC-A93E-45DB-93AC-96296100693A}"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40CE-4934-A811-A17492FA6528}"/>
                </c:ext>
              </c:extLst>
            </c:dLbl>
            <c:dLbl>
              <c:idx val="9"/>
              <c:tx>
                <c:rich>
                  <a:bodyPr/>
                  <a:lstStyle/>
                  <a:p>
                    <a:fld id="{9C3F9049-6806-4053-9580-1A1F79AC04F3}"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40CE-4934-A811-A17492FA652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[1]PLyOLx!$E$2:$E$11</c:f>
              <c:numCache>
                <c:formatCode>General</c:formatCode>
                <c:ptCount val="10"/>
                <c:pt idx="0">
                  <c:v>0.2151099734869924</c:v>
                </c:pt>
                <c:pt idx="1">
                  <c:v>0.21891015910462699</c:v>
                </c:pt>
                <c:pt idx="2">
                  <c:v>0.28072010372576683</c:v>
                </c:pt>
                <c:pt idx="3">
                  <c:v>0.44116224366224083</c:v>
                </c:pt>
                <c:pt idx="4">
                  <c:v>0.73059133212552796</c:v>
                </c:pt>
                <c:pt idx="5">
                  <c:v>1.12225498209143</c:v>
                </c:pt>
                <c:pt idx="6">
                  <c:v>1.5088204632234727</c:v>
                </c:pt>
                <c:pt idx="7">
                  <c:v>3.3057106523337376</c:v>
                </c:pt>
                <c:pt idx="8">
                  <c:v>3.7633166508206926</c:v>
                </c:pt>
                <c:pt idx="9">
                  <c:v>3.8322264400520831</c:v>
                </c:pt>
              </c:numCache>
            </c:numRef>
          </c:xVal>
          <c:yVal>
            <c:numRef>
              <c:f>[1]PLyOLx!$C$2:$C$11</c:f>
              <c:numCache>
                <c:formatCode>General</c:formatCode>
                <c:ptCount val="10"/>
                <c:pt idx="0">
                  <c:v>0.30150682490039771</c:v>
                </c:pt>
                <c:pt idx="1">
                  <c:v>0.35845520074974407</c:v>
                </c:pt>
                <c:pt idx="2">
                  <c:v>0.30381019099127343</c:v>
                </c:pt>
                <c:pt idx="3">
                  <c:v>0.55948042324533065</c:v>
                </c:pt>
                <c:pt idx="4">
                  <c:v>0.72883867014588199</c:v>
                </c:pt>
                <c:pt idx="5">
                  <c:v>1.3515771095525211</c:v>
                </c:pt>
                <c:pt idx="6">
                  <c:v>1.9504119774919613</c:v>
                </c:pt>
                <c:pt idx="7">
                  <c:v>3.9524931945079183</c:v>
                </c:pt>
                <c:pt idx="8">
                  <c:v>4.9075906236878808</c:v>
                </c:pt>
                <c:pt idx="9">
                  <c:v>4.9489531591239464</c:v>
                </c:pt>
              </c:numCache>
            </c:numRef>
          </c:yVal>
          <c:smooth val="0"/>
          <c:extLst>
            <c:ext xmlns:c15="http://schemas.microsoft.com/office/drawing/2012/chart" uri="{02D57815-91ED-43cb-92C2-25804820EDAC}">
              <c15:datalabelsRange>
                <c15:f>[1]PLyOLx!$A$2:$A$11</c15:f>
                <c15:dlblRangeCache>
                  <c:ptCount val="10"/>
                  <c:pt idx="0">
                    <c:v>LIM 12</c:v>
                  </c:pt>
                  <c:pt idx="1">
                    <c:v>LIM 35</c:v>
                  </c:pt>
                  <c:pt idx="2">
                    <c:v>LIM 38</c:v>
                  </c:pt>
                  <c:pt idx="3">
                    <c:v>LIM 26</c:v>
                  </c:pt>
                  <c:pt idx="4">
                    <c:v>LIM 9</c:v>
                  </c:pt>
                  <c:pt idx="5">
                    <c:v>LIM 14</c:v>
                  </c:pt>
                  <c:pt idx="6">
                    <c:v>LIM 41</c:v>
                  </c:pt>
                  <c:pt idx="7">
                    <c:v>LIM 50</c:v>
                  </c:pt>
                  <c:pt idx="8">
                    <c:v>LIM 45 CE</c:v>
                  </c:pt>
                  <c:pt idx="9">
                    <c:v>LIM 45 E</c:v>
                  </c:pt>
                </c15:dlblRangeCache>
              </c15:datalabelsRange>
            </c:ext>
            <c:ext xmlns:c16="http://schemas.microsoft.com/office/drawing/2014/chart" uri="{C3380CC4-5D6E-409C-BE32-E72D297353CC}">
              <c16:uniqueId val="{0000000A-40CE-4934-A811-A17492FA6528}"/>
            </c:ext>
          </c:extLst>
        </c:ser>
        <c:dLbls>
          <c:showLegendKey val="0"/>
          <c:showVal val="1"/>
          <c:showCatName val="0"/>
          <c:showSerName val="0"/>
          <c:showPercent val="0"/>
          <c:showBubbleSize val="0"/>
        </c:dLbls>
        <c:axId val="995086895"/>
        <c:axId val="995084975"/>
      </c:scatterChart>
      <c:valAx>
        <c:axId val="9950868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95084975"/>
        <c:crosses val="autoZero"/>
        <c:crossBetween val="midCat"/>
      </c:valAx>
      <c:valAx>
        <c:axId val="995084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950868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276225</xdr:colOff>
      <xdr:row>3</xdr:row>
      <xdr:rowOff>0</xdr:rowOff>
    </xdr:from>
    <xdr:to>
      <xdr:col>16</xdr:col>
      <xdr:colOff>723487</xdr:colOff>
      <xdr:row>26</xdr:row>
      <xdr:rowOff>173935</xdr:rowOff>
    </xdr:to>
    <xdr:graphicFrame macro="">
      <xdr:nvGraphicFramePr>
        <xdr:cNvPr id="2" name="Diagramm 1">
          <a:extLst>
            <a:ext uri="{FF2B5EF4-FFF2-40B4-BE49-F238E27FC236}">
              <a16:creationId xmlns:a16="http://schemas.microsoft.com/office/drawing/2014/main" id="{AB5B75EE-4B9F-4E48-A53C-82D82CB4EF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138112</xdr:colOff>
      <xdr:row>2</xdr:row>
      <xdr:rowOff>109535</xdr:rowOff>
    </xdr:from>
    <xdr:to>
      <xdr:col>18</xdr:col>
      <xdr:colOff>276225</xdr:colOff>
      <xdr:row>28</xdr:row>
      <xdr:rowOff>76200</xdr:rowOff>
    </xdr:to>
    <xdr:graphicFrame macro="">
      <xdr:nvGraphicFramePr>
        <xdr:cNvPr id="2" name="Diagramm 1">
          <a:extLst>
            <a:ext uri="{FF2B5EF4-FFF2-40B4-BE49-F238E27FC236}">
              <a16:creationId xmlns:a16="http://schemas.microsoft.com/office/drawing/2014/main" id="{BCC9020F-774E-4A8C-8140-B67F2D5A8C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547513</xdr:colOff>
      <xdr:row>2</xdr:row>
      <xdr:rowOff>179962</xdr:rowOff>
    </xdr:from>
    <xdr:to>
      <xdr:col>13</xdr:col>
      <xdr:colOff>681405</xdr:colOff>
      <xdr:row>21</xdr:row>
      <xdr:rowOff>165651</xdr:rowOff>
    </xdr:to>
    <xdr:graphicFrame macro="">
      <xdr:nvGraphicFramePr>
        <xdr:cNvPr id="2" name="Diagramm 1">
          <a:extLst>
            <a:ext uri="{FF2B5EF4-FFF2-40B4-BE49-F238E27FC236}">
              <a16:creationId xmlns:a16="http://schemas.microsoft.com/office/drawing/2014/main" id="{5430D922-83DA-4DEF-AF92-A0673525A0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164696</xdr:colOff>
      <xdr:row>2</xdr:row>
      <xdr:rowOff>95250</xdr:rowOff>
    </xdr:from>
    <xdr:to>
      <xdr:col>15</xdr:col>
      <xdr:colOff>183172</xdr:colOff>
      <xdr:row>23</xdr:row>
      <xdr:rowOff>58615</xdr:rowOff>
    </xdr:to>
    <xdr:graphicFrame macro="">
      <xdr:nvGraphicFramePr>
        <xdr:cNvPr id="2" name="Diagramm 1">
          <a:extLst>
            <a:ext uri="{FF2B5EF4-FFF2-40B4-BE49-F238E27FC236}">
              <a16:creationId xmlns:a16="http://schemas.microsoft.com/office/drawing/2014/main" id="{E03A3867-27DE-4D99-854B-D2A5F0E418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erent\Desktop\PaleoMasters\Second_Semester\Research%20Project%20Implementation\Specimens%20and%20Measurements.xlsx" TargetMode="External"/><Relationship Id="rId1" Type="http://schemas.openxmlformats.org/officeDocument/2006/relationships/externalLinkPath" Target="Specimens%20and%20Measuremen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abelle1"/>
      <sheetName val="PLyPWx"/>
      <sheetName val="OLyOWx"/>
      <sheetName val="PWyOWx"/>
      <sheetName val="PLyOLx"/>
      <sheetName val="Tabelle2"/>
      <sheetName val="Tabelle3"/>
    </sheetNames>
    <sheetDataSet>
      <sheetData sheetId="0"/>
      <sheetData sheetId="1">
        <row r="2">
          <cell r="A2" t="str">
            <v>LIM 38</v>
          </cell>
          <cell r="B2">
            <v>0.50648163570570093</v>
          </cell>
          <cell r="C2">
            <v>0.30381019099127343</v>
          </cell>
        </row>
        <row r="3">
          <cell r="A3" t="str">
            <v>LIM 12</v>
          </cell>
          <cell r="B3">
            <v>0.52736062249612803</v>
          </cell>
          <cell r="C3">
            <v>0.30150682490039771</v>
          </cell>
        </row>
        <row r="4">
          <cell r="A4" t="str">
            <v>LIM 35</v>
          </cell>
          <cell r="B4">
            <v>0.67180035783241399</v>
          </cell>
          <cell r="C4">
            <v>0.35845520074974407</v>
          </cell>
        </row>
        <row r="5">
          <cell r="A5" t="str">
            <v>LIM 26</v>
          </cell>
          <cell r="B5">
            <v>0.98373721098571609</v>
          </cell>
          <cell r="C5">
            <v>0.55948042324533065</v>
          </cell>
        </row>
        <row r="6">
          <cell r="A6" t="str">
            <v>LIM 9</v>
          </cell>
          <cell r="B6">
            <v>1.37320855937311</v>
          </cell>
          <cell r="C6">
            <v>0.72883867014588199</v>
          </cell>
        </row>
        <row r="7">
          <cell r="A7" t="str">
            <v>LIM 37</v>
          </cell>
          <cell r="B7">
            <v>1.4771585230534949</v>
          </cell>
          <cell r="C7">
            <v>0.82827455890159096</v>
          </cell>
        </row>
        <row r="8">
          <cell r="A8" t="str">
            <v>LIM 28</v>
          </cell>
          <cell r="B8">
            <v>1.7559645992717079</v>
          </cell>
          <cell r="C8">
            <v>1.55565252341644</v>
          </cell>
        </row>
        <row r="9">
          <cell r="A9" t="str">
            <v>LIM 13</v>
          </cell>
          <cell r="B9">
            <v>1.878680255181477</v>
          </cell>
          <cell r="C9">
            <v>1.0997943515538013</v>
          </cell>
        </row>
        <row r="10">
          <cell r="A10" t="str">
            <v>LIM 3</v>
          </cell>
          <cell r="B10">
            <v>1.9599655009881001</v>
          </cell>
          <cell r="C10">
            <v>1.0127044401235901</v>
          </cell>
        </row>
        <row r="11">
          <cell r="A11" t="str">
            <v>LIM 6</v>
          </cell>
          <cell r="B11">
            <v>2.0605502535445002</v>
          </cell>
          <cell r="C11">
            <v>1.3176015390501601</v>
          </cell>
        </row>
        <row r="12">
          <cell r="A12" t="str">
            <v>LIM 48</v>
          </cell>
          <cell r="B12">
            <v>3.0160408681980502</v>
          </cell>
          <cell r="C12">
            <v>1.87516513544874</v>
          </cell>
        </row>
        <row r="13">
          <cell r="A13" t="str">
            <v>LIM 41</v>
          </cell>
          <cell r="B13">
            <v>3.2078696493167205</v>
          </cell>
          <cell r="C13">
            <v>1.9504119774919613</v>
          </cell>
        </row>
        <row r="14">
          <cell r="A14" t="str">
            <v>LIM 29</v>
          </cell>
          <cell r="B14">
            <v>3.468257479217975</v>
          </cell>
          <cell r="C14">
            <v>1.9902808131895704</v>
          </cell>
        </row>
        <row r="15">
          <cell r="A15" t="str">
            <v>LIM 50</v>
          </cell>
          <cell r="B15">
            <v>6.9976702366522936</v>
          </cell>
          <cell r="C15">
            <v>3.9524931945079183</v>
          </cell>
        </row>
        <row r="16">
          <cell r="A16" t="str">
            <v>LIM 45 E</v>
          </cell>
          <cell r="B16">
            <v>8.1060757418136973</v>
          </cell>
          <cell r="C16">
            <v>4.9489531591239464</v>
          </cell>
        </row>
        <row r="17">
          <cell r="A17" t="str">
            <v xml:space="preserve">LIM 43 E </v>
          </cell>
          <cell r="B17">
            <v>8.850207039337473</v>
          </cell>
          <cell r="C17">
            <v>5.4695307108350582</v>
          </cell>
        </row>
        <row r="24">
          <cell r="A24" t="str">
            <v>LIM 45 CE</v>
          </cell>
          <cell r="B24">
            <v>8.3268244185653693</v>
          </cell>
          <cell r="C24">
            <v>4.9075906236878808</v>
          </cell>
        </row>
        <row r="25">
          <cell r="A25" t="str">
            <v>LIM 43  CE</v>
          </cell>
          <cell r="B25">
            <v>9.4342876770647877</v>
          </cell>
          <cell r="C25">
            <v>5.2942274943881102</v>
          </cell>
        </row>
      </sheetData>
      <sheetData sheetId="2">
        <row r="2">
          <cell r="A2" t="str">
            <v>LIM 12</v>
          </cell>
          <cell r="D2">
            <v>0.30729713312274592</v>
          </cell>
          <cell r="E2">
            <v>0.2151099734869924</v>
          </cell>
        </row>
        <row r="3">
          <cell r="A3" t="str">
            <v>LIM 35</v>
          </cell>
          <cell r="D3">
            <v>0.39812155982293174</v>
          </cell>
          <cell r="E3">
            <v>0.21891015910462699</v>
          </cell>
        </row>
        <row r="4">
          <cell r="A4" t="str">
            <v>LIM 38</v>
          </cell>
          <cell r="D4">
            <v>0.34295256049825262</v>
          </cell>
          <cell r="E4">
            <v>0.28072010372576683</v>
          </cell>
        </row>
        <row r="5">
          <cell r="A5" t="str">
            <v>LIM 26</v>
          </cell>
          <cell r="D5">
            <v>0.57378147724192985</v>
          </cell>
          <cell r="E5">
            <v>0.44116224366224083</v>
          </cell>
        </row>
        <row r="6">
          <cell r="A6" t="str">
            <v>LIM 9</v>
          </cell>
          <cell r="D6">
            <v>0.71095778247591002</v>
          </cell>
          <cell r="E6">
            <v>0.73059133212552796</v>
          </cell>
        </row>
        <row r="7">
          <cell r="A7" t="str">
            <v>LIM 7</v>
          </cell>
          <cell r="D7">
            <v>0.73894384479461928</v>
          </cell>
          <cell r="E7">
            <v>0.82127441277210955</v>
          </cell>
        </row>
        <row r="8">
          <cell r="A8" t="str">
            <v>LIM 4</v>
          </cell>
          <cell r="D8">
            <v>1.200107524084526</v>
          </cell>
          <cell r="E8">
            <v>0.90167727009832199</v>
          </cell>
        </row>
        <row r="9">
          <cell r="A9" t="str">
            <v>LIM 20</v>
          </cell>
          <cell r="D9">
            <v>1.4415657551754022</v>
          </cell>
          <cell r="E9">
            <v>0.98138743605566725</v>
          </cell>
        </row>
        <row r="10">
          <cell r="A10" t="str">
            <v>LIM 14</v>
          </cell>
          <cell r="D10">
            <v>1.1615006397446157</v>
          </cell>
          <cell r="E10">
            <v>1.12225498209143</v>
          </cell>
        </row>
        <row r="11">
          <cell r="A11" t="str">
            <v>LIM 19</v>
          </cell>
          <cell r="D11">
            <v>1.6483488896041198</v>
          </cell>
          <cell r="E11">
            <v>1.1459462504023175</v>
          </cell>
        </row>
        <row r="12">
          <cell r="A12" t="str">
            <v>LIM 33</v>
          </cell>
          <cell r="D12">
            <v>1.5366457824726054</v>
          </cell>
          <cell r="E12">
            <v>1.2214678342194893</v>
          </cell>
        </row>
        <row r="13">
          <cell r="A13" t="str">
            <v>LIM 31</v>
          </cell>
          <cell r="D13">
            <v>1.5250415536251301</v>
          </cell>
          <cell r="E13">
            <v>1.4824697880100599</v>
          </cell>
        </row>
        <row r="14">
          <cell r="A14" t="str">
            <v>LIM 41</v>
          </cell>
          <cell r="D14">
            <v>1.821339303657556</v>
          </cell>
          <cell r="E14">
            <v>1.5088204632234727</v>
          </cell>
        </row>
        <row r="15">
          <cell r="A15" t="str">
            <v>LIM 11(?)/ LIM 22, 23, 24???</v>
          </cell>
          <cell r="D15">
            <v>1.683957577193792</v>
          </cell>
          <cell r="E15">
            <v>1.7400251942577047</v>
          </cell>
        </row>
        <row r="16">
          <cell r="A16" t="str">
            <v>LIM 50</v>
          </cell>
          <cell r="D16">
            <v>3.1683241599936416</v>
          </cell>
          <cell r="E16">
            <v>3.3057106523337376</v>
          </cell>
        </row>
        <row r="17">
          <cell r="A17" t="str">
            <v>LIM 45 CE</v>
          </cell>
          <cell r="D17">
            <v>4.090174852680704</v>
          </cell>
          <cell r="E17">
            <v>3.7633166508206926</v>
          </cell>
        </row>
        <row r="18">
          <cell r="A18" t="str">
            <v>LIM 45 E</v>
          </cell>
          <cell r="D18">
            <v>4.553747476765575</v>
          </cell>
          <cell r="E18">
            <v>3.8322264400520831</v>
          </cell>
        </row>
      </sheetData>
      <sheetData sheetId="3">
        <row r="2">
          <cell r="A2" t="str">
            <v>LIM 12</v>
          </cell>
          <cell r="B2">
            <v>0.52736062249612803</v>
          </cell>
          <cell r="D2">
            <v>0.30729713312274592</v>
          </cell>
        </row>
        <row r="3">
          <cell r="A3" t="str">
            <v>LIM 38</v>
          </cell>
          <cell r="B3">
            <v>0.50648163570570093</v>
          </cell>
          <cell r="D3">
            <v>0.34295256049825262</v>
          </cell>
        </row>
        <row r="4">
          <cell r="A4" t="str">
            <v>LIM 35</v>
          </cell>
          <cell r="B4">
            <v>0.67180035783241399</v>
          </cell>
          <cell r="D4">
            <v>0.39812155982293174</v>
          </cell>
        </row>
        <row r="5">
          <cell r="A5" t="str">
            <v>LIM 26</v>
          </cell>
          <cell r="B5">
            <v>0.98373721098571609</v>
          </cell>
          <cell r="D5">
            <v>0.57378147724192985</v>
          </cell>
        </row>
        <row r="6">
          <cell r="A6" t="str">
            <v>LIM 9</v>
          </cell>
          <cell r="B6">
            <v>1.37320855937311</v>
          </cell>
          <cell r="D6">
            <v>0.71095778247591002</v>
          </cell>
        </row>
        <row r="7">
          <cell r="A7" t="str">
            <v>LIM 31</v>
          </cell>
          <cell r="B7">
            <v>3.4089060714292998</v>
          </cell>
          <cell r="D7">
            <v>1.5250415536251301</v>
          </cell>
        </row>
        <row r="8">
          <cell r="A8" t="str">
            <v>LIM 29</v>
          </cell>
          <cell r="B8">
            <v>3.468257479217975</v>
          </cell>
          <cell r="D8">
            <v>1.6139474970285321</v>
          </cell>
        </row>
        <row r="9">
          <cell r="A9" t="str">
            <v>LIM 41</v>
          </cell>
          <cell r="B9">
            <v>3.2078696493167205</v>
          </cell>
          <cell r="D9">
            <v>1.821339303657556</v>
          </cell>
        </row>
        <row r="10">
          <cell r="A10" t="str">
            <v>LIM 50</v>
          </cell>
          <cell r="B10">
            <v>6.9976702366522936</v>
          </cell>
          <cell r="D10">
            <v>3.1683241599936416</v>
          </cell>
        </row>
        <row r="11">
          <cell r="A11" t="str">
            <v>LIM 45 CE</v>
          </cell>
          <cell r="B11">
            <v>8.3268244185653693</v>
          </cell>
          <cell r="D11">
            <v>4.090174852680704</v>
          </cell>
        </row>
        <row r="12">
          <cell r="A12" t="str">
            <v xml:space="preserve">LIM 43 E </v>
          </cell>
          <cell r="B12">
            <v>8.850207039337473</v>
          </cell>
          <cell r="D12">
            <v>4.2861145617667358</v>
          </cell>
        </row>
        <row r="13">
          <cell r="A13" t="str">
            <v>LIM 43  CE</v>
          </cell>
          <cell r="B13">
            <v>9.4342876770647877</v>
          </cell>
          <cell r="D13">
            <v>4.4100114172923597</v>
          </cell>
        </row>
        <row r="14">
          <cell r="A14" t="str">
            <v>LIM 45 E</v>
          </cell>
          <cell r="B14">
            <v>8.1060757418136973</v>
          </cell>
          <cell r="D14">
            <v>4.553747476765575</v>
          </cell>
        </row>
      </sheetData>
      <sheetData sheetId="4">
        <row r="2">
          <cell r="A2" t="str">
            <v>LIM 12</v>
          </cell>
          <cell r="C2">
            <v>0.30150682490039771</v>
          </cell>
          <cell r="E2">
            <v>0.2151099734869924</v>
          </cell>
        </row>
        <row r="3">
          <cell r="A3" t="str">
            <v>LIM 35</v>
          </cell>
          <cell r="C3">
            <v>0.35845520074974407</v>
          </cell>
          <cell r="E3">
            <v>0.21891015910462699</v>
          </cell>
        </row>
        <row r="4">
          <cell r="A4" t="str">
            <v>LIM 38</v>
          </cell>
          <cell r="C4">
            <v>0.30381019099127343</v>
          </cell>
          <cell r="E4">
            <v>0.28072010372576683</v>
          </cell>
        </row>
        <row r="5">
          <cell r="A5" t="str">
            <v>LIM 26</v>
          </cell>
          <cell r="C5">
            <v>0.55948042324533065</v>
          </cell>
          <cell r="E5">
            <v>0.44116224366224083</v>
          </cell>
        </row>
        <row r="6">
          <cell r="A6" t="str">
            <v>LIM 9</v>
          </cell>
          <cell r="C6">
            <v>0.72883867014588199</v>
          </cell>
          <cell r="E6">
            <v>0.73059133212552796</v>
          </cell>
        </row>
        <row r="7">
          <cell r="A7" t="str">
            <v>LIM 14</v>
          </cell>
          <cell r="C7">
            <v>1.3515771095525211</v>
          </cell>
          <cell r="E7">
            <v>1.12225498209143</v>
          </cell>
        </row>
        <row r="8">
          <cell r="A8" t="str">
            <v>LIM 41</v>
          </cell>
          <cell r="C8">
            <v>1.9504119774919613</v>
          </cell>
          <cell r="E8">
            <v>1.5088204632234727</v>
          </cell>
        </row>
        <row r="9">
          <cell r="A9" t="str">
            <v>LIM 50</v>
          </cell>
          <cell r="C9">
            <v>3.9524931945079183</v>
          </cell>
          <cell r="E9">
            <v>3.3057106523337376</v>
          </cell>
        </row>
        <row r="10">
          <cell r="A10" t="str">
            <v>LIM 45 CE</v>
          </cell>
          <cell r="C10">
            <v>4.9075906236878808</v>
          </cell>
          <cell r="E10">
            <v>3.7633166508206926</v>
          </cell>
        </row>
        <row r="11">
          <cell r="A11" t="str">
            <v>LIM 45 E</v>
          </cell>
          <cell r="C11">
            <v>4.9489531591239464</v>
          </cell>
          <cell r="E11">
            <v>3.8322264400520831</v>
          </cell>
        </row>
      </sheetData>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1"/>
  <sheetViews>
    <sheetView zoomScale="70" zoomScaleNormal="70" workbookViewId="0">
      <selection activeCell="B43" sqref="B43"/>
    </sheetView>
  </sheetViews>
  <sheetFormatPr baseColWidth="10" defaultColWidth="9.140625" defaultRowHeight="15" x14ac:dyDescent="0.25"/>
  <cols>
    <col min="1" max="1" width="12" customWidth="1"/>
    <col min="2" max="2" width="15.42578125" customWidth="1"/>
    <col min="3" max="3" width="16.140625" customWidth="1"/>
    <col min="4" max="4" width="23.7109375" customWidth="1"/>
    <col min="10" max="10" width="63.5703125" bestFit="1" customWidth="1"/>
  </cols>
  <sheetData>
    <row r="1" spans="1:10" x14ac:dyDescent="0.25">
      <c r="A1" t="s">
        <v>0</v>
      </c>
      <c r="B1" t="s">
        <v>1</v>
      </c>
      <c r="C1" t="s">
        <v>2</v>
      </c>
      <c r="D1" t="s">
        <v>3</v>
      </c>
      <c r="E1" t="s">
        <v>4</v>
      </c>
      <c r="F1" t="s">
        <v>5</v>
      </c>
      <c r="G1" t="s">
        <v>131</v>
      </c>
      <c r="H1" t="s">
        <v>132</v>
      </c>
      <c r="I1" t="s">
        <v>6</v>
      </c>
      <c r="J1" t="s">
        <v>7</v>
      </c>
    </row>
    <row r="2" spans="1:10" x14ac:dyDescent="0.25">
      <c r="A2" t="s">
        <v>8</v>
      </c>
      <c r="B2" t="s">
        <v>9</v>
      </c>
      <c r="C2" t="s">
        <v>9</v>
      </c>
      <c r="D2" t="s">
        <v>10</v>
      </c>
      <c r="E2" s="1">
        <f>0.97998275049405*2</f>
        <v>1.9599655009881001</v>
      </c>
      <c r="F2" s="1">
        <v>1.0127044401235901</v>
      </c>
      <c r="G2" s="2" t="s">
        <v>11</v>
      </c>
      <c r="H2" s="2" t="s">
        <v>11</v>
      </c>
      <c r="I2" t="s">
        <v>12</v>
      </c>
      <c r="J2" t="s">
        <v>11</v>
      </c>
    </row>
    <row r="3" spans="1:10" x14ac:dyDescent="0.25">
      <c r="A3" t="s">
        <v>13</v>
      </c>
      <c r="B3" t="s">
        <v>9</v>
      </c>
      <c r="C3" t="s">
        <v>9</v>
      </c>
      <c r="D3" t="s">
        <v>14</v>
      </c>
      <c r="E3" s="2" t="s">
        <v>11</v>
      </c>
      <c r="F3" s="2" t="s">
        <v>11</v>
      </c>
      <c r="G3" s="2" t="s">
        <v>11</v>
      </c>
      <c r="H3" s="2" t="s">
        <v>11</v>
      </c>
      <c r="I3" t="s">
        <v>58</v>
      </c>
      <c r="J3" t="s">
        <v>11</v>
      </c>
    </row>
    <row r="4" spans="1:10" x14ac:dyDescent="0.25">
      <c r="A4" t="s">
        <v>16</v>
      </c>
      <c r="B4" t="s">
        <v>9</v>
      </c>
      <c r="C4" t="s">
        <v>9</v>
      </c>
      <c r="D4" t="s">
        <v>17</v>
      </c>
      <c r="E4" s="1">
        <f>0.877982299635854*2</f>
        <v>1.7559645992717079</v>
      </c>
      <c r="F4" s="1">
        <v>1.55565252341644</v>
      </c>
      <c r="G4" s="2" t="s">
        <v>11</v>
      </c>
      <c r="H4" s="2" t="s">
        <v>11</v>
      </c>
      <c r="I4" t="s">
        <v>18</v>
      </c>
      <c r="J4" t="s">
        <v>11</v>
      </c>
    </row>
    <row r="5" spans="1:10" x14ac:dyDescent="0.25">
      <c r="A5" t="s">
        <v>19</v>
      </c>
      <c r="B5" t="s">
        <v>9</v>
      </c>
      <c r="C5" t="s">
        <v>9</v>
      </c>
      <c r="D5" t="s">
        <v>20</v>
      </c>
      <c r="E5" t="s">
        <v>11</v>
      </c>
      <c r="F5" t="s">
        <v>11</v>
      </c>
      <c r="G5" s="1">
        <f>2*0.600053762042263</f>
        <v>1.200107524084526</v>
      </c>
      <c r="H5" s="1">
        <v>0.90167727009832199</v>
      </c>
      <c r="I5" t="s">
        <v>21</v>
      </c>
      <c r="J5" t="s">
        <v>11</v>
      </c>
    </row>
    <row r="6" spans="1:10" x14ac:dyDescent="0.25">
      <c r="A6" t="s">
        <v>22</v>
      </c>
      <c r="B6" t="s">
        <v>23</v>
      </c>
      <c r="C6" t="s">
        <v>9</v>
      </c>
      <c r="D6" t="s">
        <v>24</v>
      </c>
      <c r="E6" s="1">
        <v>3.0160408681980502</v>
      </c>
      <c r="F6" s="1">
        <v>1.87516513544874</v>
      </c>
      <c r="G6" t="s">
        <v>11</v>
      </c>
      <c r="H6" t="s">
        <v>11</v>
      </c>
      <c r="I6" t="s">
        <v>25</v>
      </c>
      <c r="J6" t="s">
        <v>11</v>
      </c>
    </row>
    <row r="7" spans="1:10" x14ac:dyDescent="0.25">
      <c r="A7" t="s">
        <v>26</v>
      </c>
      <c r="B7" t="s">
        <v>9</v>
      </c>
      <c r="C7" t="s">
        <v>9</v>
      </c>
      <c r="D7" t="s">
        <v>27</v>
      </c>
      <c r="E7" t="s">
        <v>15</v>
      </c>
      <c r="F7" t="s">
        <v>11</v>
      </c>
      <c r="G7" t="s">
        <v>11</v>
      </c>
      <c r="H7" t="s">
        <v>11</v>
      </c>
      <c r="I7" t="s">
        <v>58</v>
      </c>
      <c r="J7" t="s">
        <v>11</v>
      </c>
    </row>
    <row r="8" spans="1:10" x14ac:dyDescent="0.25">
      <c r="A8" t="s">
        <v>28</v>
      </c>
      <c r="B8" t="s">
        <v>9</v>
      </c>
      <c r="C8" t="s">
        <v>9</v>
      </c>
      <c r="D8" t="s">
        <v>29</v>
      </c>
      <c r="E8" s="1">
        <f>2*1.70445303571465</f>
        <v>3.4089060714292998</v>
      </c>
      <c r="F8" t="s">
        <v>15</v>
      </c>
      <c r="G8" s="1">
        <v>1.5250415536251301</v>
      </c>
      <c r="H8" s="1">
        <v>1.4824697880100599</v>
      </c>
      <c r="I8" t="s">
        <v>30</v>
      </c>
      <c r="J8" t="s">
        <v>31</v>
      </c>
    </row>
    <row r="9" spans="1:10" x14ac:dyDescent="0.25">
      <c r="A9" t="s">
        <v>32</v>
      </c>
      <c r="B9" t="s">
        <v>9</v>
      </c>
      <c r="C9" t="s">
        <v>9</v>
      </c>
      <c r="D9" t="s">
        <v>17</v>
      </c>
      <c r="E9" s="1">
        <v>2.0605502535445002</v>
      </c>
      <c r="F9" s="1">
        <v>1.3176015390501601</v>
      </c>
      <c r="G9" t="s">
        <v>11</v>
      </c>
      <c r="H9" t="s">
        <v>11</v>
      </c>
      <c r="I9" t="s">
        <v>33</v>
      </c>
      <c r="J9" t="s">
        <v>11</v>
      </c>
    </row>
    <row r="10" spans="1:10" x14ac:dyDescent="0.25">
      <c r="A10" t="s">
        <v>34</v>
      </c>
      <c r="B10" t="s">
        <v>9</v>
      </c>
      <c r="C10" t="s">
        <v>35</v>
      </c>
      <c r="D10" t="s">
        <v>36</v>
      </c>
      <c r="E10" s="3">
        <v>1.37320855937311</v>
      </c>
      <c r="F10" s="3">
        <v>0.72883867014588199</v>
      </c>
      <c r="G10" s="3">
        <v>0.71095778247591002</v>
      </c>
      <c r="H10" s="3">
        <v>0.73059133212552796</v>
      </c>
      <c r="I10" t="s">
        <v>37</v>
      </c>
      <c r="J10" t="s">
        <v>38</v>
      </c>
    </row>
    <row r="11" spans="1:10" x14ac:dyDescent="0.25">
      <c r="A11" t="s">
        <v>39</v>
      </c>
      <c r="B11" t="s">
        <v>9</v>
      </c>
      <c r="C11" t="s">
        <v>9</v>
      </c>
      <c r="D11" t="s">
        <v>40</v>
      </c>
      <c r="E11" t="s">
        <v>15</v>
      </c>
      <c r="F11" t="s">
        <v>11</v>
      </c>
      <c r="G11" t="s">
        <v>11</v>
      </c>
      <c r="H11" t="s">
        <v>11</v>
      </c>
      <c r="I11" t="s">
        <v>58</v>
      </c>
      <c r="J11" t="s">
        <v>11</v>
      </c>
    </row>
    <row r="12" spans="1:10" x14ac:dyDescent="0.25">
      <c r="A12" t="s">
        <v>41</v>
      </c>
      <c r="B12" t="s">
        <v>9</v>
      </c>
      <c r="C12" t="s">
        <v>9</v>
      </c>
      <c r="D12" t="s">
        <v>42</v>
      </c>
      <c r="E12" t="s">
        <v>11</v>
      </c>
      <c r="F12" t="s">
        <v>11</v>
      </c>
      <c r="G12" s="1">
        <f>713.018/964.915</f>
        <v>0.73894384479461928</v>
      </c>
      <c r="H12" s="1">
        <f>792.46/964.915</f>
        <v>0.82127441277210955</v>
      </c>
      <c r="I12" t="s">
        <v>43</v>
      </c>
      <c r="J12" t="s">
        <v>11</v>
      </c>
    </row>
    <row r="13" spans="1:10" x14ac:dyDescent="0.25">
      <c r="A13" t="s">
        <v>44</v>
      </c>
      <c r="B13" t="s">
        <v>45</v>
      </c>
      <c r="C13" t="s">
        <v>46</v>
      </c>
      <c r="D13" t="s">
        <v>47</v>
      </c>
      <c r="E13" t="s">
        <v>11</v>
      </c>
      <c r="F13" t="s">
        <v>11</v>
      </c>
      <c r="G13" t="s">
        <v>11</v>
      </c>
      <c r="H13" t="s">
        <v>11</v>
      </c>
      <c r="I13" t="s">
        <v>48</v>
      </c>
      <c r="J13" t="s">
        <v>11</v>
      </c>
    </row>
    <row r="14" spans="1:10" x14ac:dyDescent="0.25">
      <c r="A14" t="s">
        <v>49</v>
      </c>
      <c r="B14" t="s">
        <v>9</v>
      </c>
      <c r="C14" t="s">
        <v>9</v>
      </c>
      <c r="D14" t="s">
        <v>42</v>
      </c>
      <c r="E14" t="s">
        <v>11</v>
      </c>
      <c r="F14" t="s">
        <v>11</v>
      </c>
      <c r="G14" s="1">
        <f>(512.142/621.4)*2</f>
        <v>1.6483488896041198</v>
      </c>
      <c r="H14" s="1">
        <f>712.091/621.4</f>
        <v>1.1459462504023175</v>
      </c>
      <c r="I14" t="s">
        <v>50</v>
      </c>
      <c r="J14" t="s">
        <v>11</v>
      </c>
    </row>
    <row r="15" spans="1:10" x14ac:dyDescent="0.25">
      <c r="A15" t="s">
        <v>51</v>
      </c>
      <c r="B15" t="s">
        <v>9</v>
      </c>
      <c r="C15" t="s">
        <v>9</v>
      </c>
      <c r="D15" t="s">
        <v>52</v>
      </c>
      <c r="E15" s="3">
        <f>(572.552/2171.387)*2</f>
        <v>0.52736062249612803</v>
      </c>
      <c r="F15" s="3">
        <f>654.688/2171.387</f>
        <v>0.30150682490039771</v>
      </c>
      <c r="G15" s="3">
        <f>667.261/2171.387</f>
        <v>0.30729713312274592</v>
      </c>
      <c r="H15" s="3">
        <f>467.087/2171.387</f>
        <v>0.2151099734869924</v>
      </c>
      <c r="I15" t="s">
        <v>53</v>
      </c>
      <c r="J15" s="2" t="s">
        <v>54</v>
      </c>
    </row>
    <row r="16" spans="1:10" x14ac:dyDescent="0.25">
      <c r="A16" t="s">
        <v>55</v>
      </c>
      <c r="B16" t="s">
        <v>56</v>
      </c>
      <c r="C16" t="s">
        <v>56</v>
      </c>
      <c r="D16" t="s">
        <v>57</v>
      </c>
      <c r="E16" t="s">
        <v>11</v>
      </c>
      <c r="F16" t="s">
        <v>11</v>
      </c>
      <c r="G16" t="s">
        <v>11</v>
      </c>
      <c r="H16" t="s">
        <v>11</v>
      </c>
      <c r="I16" t="s">
        <v>58</v>
      </c>
      <c r="J16" t="s">
        <v>11</v>
      </c>
    </row>
    <row r="17" spans="1:10" x14ac:dyDescent="0.25">
      <c r="A17" t="s">
        <v>59</v>
      </c>
      <c r="B17" t="s">
        <v>56</v>
      </c>
      <c r="C17" t="s">
        <v>56</v>
      </c>
      <c r="D17" t="s">
        <v>60</v>
      </c>
      <c r="E17" t="s">
        <v>11</v>
      </c>
      <c r="F17" t="s">
        <v>11</v>
      </c>
      <c r="G17" t="s">
        <v>11</v>
      </c>
      <c r="H17" t="s">
        <v>11</v>
      </c>
      <c r="I17" t="s">
        <v>58</v>
      </c>
      <c r="J17" t="s">
        <v>11</v>
      </c>
    </row>
    <row r="18" spans="1:10" x14ac:dyDescent="0.25">
      <c r="A18" t="s">
        <v>61</v>
      </c>
      <c r="B18" t="s">
        <v>56</v>
      </c>
      <c r="C18" t="s">
        <v>56</v>
      </c>
      <c r="D18" t="s">
        <v>62</v>
      </c>
      <c r="E18" t="s">
        <v>11</v>
      </c>
      <c r="F18" t="s">
        <v>11</v>
      </c>
      <c r="G18" t="s">
        <v>11</v>
      </c>
      <c r="H18" t="s">
        <v>11</v>
      </c>
      <c r="I18" t="s">
        <v>58</v>
      </c>
      <c r="J18" t="s">
        <v>11</v>
      </c>
    </row>
    <row r="19" spans="1:10" x14ac:dyDescent="0.25">
      <c r="A19" t="s">
        <v>63</v>
      </c>
      <c r="B19" t="s">
        <v>9</v>
      </c>
      <c r="C19" t="s">
        <v>9</v>
      </c>
      <c r="D19" t="s">
        <v>64</v>
      </c>
      <c r="E19" t="s">
        <v>11</v>
      </c>
      <c r="F19" t="s">
        <v>11</v>
      </c>
      <c r="G19" s="1">
        <f>(405.044/481.062)*2</f>
        <v>1.683957577193792</v>
      </c>
      <c r="H19" s="1">
        <f>837.06/481.062</f>
        <v>1.7400251942577047</v>
      </c>
      <c r="I19" t="s">
        <v>65</v>
      </c>
      <c r="J19" t="s">
        <v>66</v>
      </c>
    </row>
    <row r="20" spans="1:10" x14ac:dyDescent="0.25">
      <c r="A20" t="s">
        <v>67</v>
      </c>
      <c r="B20" t="s">
        <v>9</v>
      </c>
      <c r="C20" t="s">
        <v>68</v>
      </c>
      <c r="D20" t="s">
        <v>69</v>
      </c>
      <c r="E20" s="3">
        <f>1720.519/1748.962</f>
        <v>0.98373721098571609</v>
      </c>
      <c r="F20" s="3">
        <f>978.51/1748.962</f>
        <v>0.55948042324533065</v>
      </c>
      <c r="G20" s="3">
        <f>1003.522/1748.962</f>
        <v>0.57378147724192985</v>
      </c>
      <c r="H20" s="3">
        <f>771.576/1748.962</f>
        <v>0.44116224366224083</v>
      </c>
      <c r="I20" t="s">
        <v>70</v>
      </c>
      <c r="J20" t="s">
        <v>11</v>
      </c>
    </row>
    <row r="21" spans="1:10" x14ac:dyDescent="0.25">
      <c r="A21" t="s">
        <v>71</v>
      </c>
      <c r="B21" t="s">
        <v>56</v>
      </c>
      <c r="C21" t="s">
        <v>72</v>
      </c>
      <c r="D21" t="s">
        <v>73</v>
      </c>
      <c r="E21" t="s">
        <v>15</v>
      </c>
      <c r="F21" t="s">
        <v>11</v>
      </c>
      <c r="G21" t="s">
        <v>11</v>
      </c>
      <c r="H21" t="s">
        <v>11</v>
      </c>
      <c r="I21" t="s">
        <v>58</v>
      </c>
      <c r="J21" t="s">
        <v>11</v>
      </c>
    </row>
    <row r="22" spans="1:10" x14ac:dyDescent="0.25">
      <c r="A22" t="s">
        <v>74</v>
      </c>
      <c r="B22" t="s">
        <v>9</v>
      </c>
      <c r="C22" t="s">
        <v>35</v>
      </c>
      <c r="D22" t="s">
        <v>75</v>
      </c>
      <c r="E22" t="s">
        <v>11</v>
      </c>
      <c r="F22" t="s">
        <v>11</v>
      </c>
      <c r="G22" t="s">
        <v>11</v>
      </c>
      <c r="H22" t="s">
        <v>11</v>
      </c>
      <c r="I22" t="s">
        <v>58</v>
      </c>
      <c r="J22" t="s">
        <v>11</v>
      </c>
    </row>
    <row r="23" spans="1:10" x14ac:dyDescent="0.25">
      <c r="A23" t="s">
        <v>76</v>
      </c>
      <c r="B23" t="s">
        <v>9</v>
      </c>
      <c r="C23" t="s">
        <v>9</v>
      </c>
      <c r="D23" t="s">
        <v>77</v>
      </c>
      <c r="E23" s="1">
        <f>1609.657/856.802</f>
        <v>1.878680255181477</v>
      </c>
      <c r="F23" s="1">
        <f>942.306/856.802</f>
        <v>1.0997943515538013</v>
      </c>
      <c r="G23" t="s">
        <v>11</v>
      </c>
      <c r="H23" t="s">
        <v>11</v>
      </c>
      <c r="I23" t="s">
        <v>78</v>
      </c>
      <c r="J23" t="s">
        <v>11</v>
      </c>
    </row>
    <row r="24" spans="1:10" x14ac:dyDescent="0.25">
      <c r="A24" t="s">
        <v>79</v>
      </c>
      <c r="B24" t="s">
        <v>9</v>
      </c>
      <c r="C24" t="s">
        <v>9</v>
      </c>
      <c r="D24" t="s">
        <v>80</v>
      </c>
      <c r="E24" s="1">
        <f>(1313.195/757.265)*2</f>
        <v>3.468257479217975</v>
      </c>
      <c r="F24" s="1">
        <f>1507.17/757.265</f>
        <v>1.9902808131895704</v>
      </c>
      <c r="G24" s="1">
        <f>2*(535.001/662.972)</f>
        <v>1.6139474970285321</v>
      </c>
      <c r="H24" t="s">
        <v>11</v>
      </c>
      <c r="I24" t="s">
        <v>81</v>
      </c>
      <c r="J24" t="s">
        <v>11</v>
      </c>
    </row>
    <row r="25" spans="1:10" x14ac:dyDescent="0.25">
      <c r="A25" t="s">
        <v>82</v>
      </c>
      <c r="B25" t="s">
        <v>9</v>
      </c>
      <c r="C25" t="s">
        <v>9</v>
      </c>
      <c r="D25" t="s">
        <v>83</v>
      </c>
      <c r="E25" t="s">
        <v>11</v>
      </c>
      <c r="F25" t="s">
        <v>11</v>
      </c>
      <c r="G25" s="1">
        <f>1503.717/978.571</f>
        <v>1.5366457824726054</v>
      </c>
      <c r="H25" s="1">
        <f>1195.293/978.571</f>
        <v>1.2214678342194893</v>
      </c>
      <c r="I25" t="s">
        <v>84</v>
      </c>
      <c r="J25" t="s">
        <v>11</v>
      </c>
    </row>
    <row r="26" spans="1:10" x14ac:dyDescent="0.25">
      <c r="A26" t="s">
        <v>85</v>
      </c>
      <c r="B26" t="s">
        <v>9</v>
      </c>
      <c r="C26" t="s">
        <v>35</v>
      </c>
      <c r="D26" t="s">
        <v>86</v>
      </c>
      <c r="E26" t="s">
        <v>11</v>
      </c>
      <c r="F26" s="1">
        <f>1579.23/1168.435</f>
        <v>1.3515771095525211</v>
      </c>
      <c r="G26" s="1">
        <f>(678.569/1168.435)*2</f>
        <v>1.1615006397446157</v>
      </c>
      <c r="H26" s="1">
        <f>1311.282/1168.435</f>
        <v>1.12225498209143</v>
      </c>
      <c r="I26" t="s">
        <v>87</v>
      </c>
      <c r="J26" t="s">
        <v>88</v>
      </c>
    </row>
    <row r="27" spans="1:10" x14ac:dyDescent="0.25">
      <c r="A27" t="s">
        <v>89</v>
      </c>
      <c r="B27" t="s">
        <v>9</v>
      </c>
      <c r="C27" t="s">
        <v>9</v>
      </c>
      <c r="D27" t="s">
        <v>90</v>
      </c>
      <c r="E27" t="s">
        <v>11</v>
      </c>
      <c r="F27" t="s">
        <v>11</v>
      </c>
      <c r="G27" s="1">
        <f>854.984/593.094</f>
        <v>1.4415657551754022</v>
      </c>
      <c r="H27" s="1">
        <f>582.055/593.094</f>
        <v>0.98138743605566725</v>
      </c>
      <c r="I27" t="s">
        <v>91</v>
      </c>
      <c r="J27" t="s">
        <v>11</v>
      </c>
    </row>
    <row r="28" spans="1:10" x14ac:dyDescent="0.25">
      <c r="A28" t="s">
        <v>92</v>
      </c>
      <c r="B28" t="s">
        <v>9</v>
      </c>
      <c r="C28" t="s">
        <v>9</v>
      </c>
      <c r="D28" t="s">
        <v>93</v>
      </c>
      <c r="E28" s="3">
        <f>1240.645/2449.536</f>
        <v>0.50648163570570093</v>
      </c>
      <c r="F28" s="3">
        <f>744.194/2449.536</f>
        <v>0.30381019099127343</v>
      </c>
      <c r="G28" s="3">
        <f>(457.699/2669.168)*2</f>
        <v>0.34295256049825262</v>
      </c>
      <c r="H28" s="3">
        <f>687.634/2449.536</f>
        <v>0.28072010372576683</v>
      </c>
      <c r="I28" t="s">
        <v>94</v>
      </c>
      <c r="J28" t="s">
        <v>11</v>
      </c>
    </row>
    <row r="29" spans="1:10" x14ac:dyDescent="0.25">
      <c r="A29" t="s">
        <v>95</v>
      </c>
      <c r="B29" t="s">
        <v>9</v>
      </c>
      <c r="C29" t="s">
        <v>9</v>
      </c>
      <c r="D29" t="s">
        <v>96</v>
      </c>
      <c r="E29" t="s">
        <v>15</v>
      </c>
      <c r="F29" t="s">
        <v>11</v>
      </c>
      <c r="G29" t="s">
        <v>11</v>
      </c>
      <c r="H29" t="s">
        <v>11</v>
      </c>
      <c r="I29" t="s">
        <v>58</v>
      </c>
      <c r="J29" t="s">
        <v>11</v>
      </c>
    </row>
    <row r="30" spans="1:10" x14ac:dyDescent="0.25">
      <c r="A30" t="s">
        <v>97</v>
      </c>
      <c r="B30" t="s">
        <v>56</v>
      </c>
      <c r="C30" t="s">
        <v>56</v>
      </c>
      <c r="D30" t="s">
        <v>98</v>
      </c>
      <c r="E30" t="s">
        <v>11</v>
      </c>
      <c r="F30" t="s">
        <v>11</v>
      </c>
      <c r="G30" t="s">
        <v>11</v>
      </c>
      <c r="H30" t="s">
        <v>11</v>
      </c>
      <c r="I30" t="s">
        <v>58</v>
      </c>
      <c r="J30" t="s">
        <v>11</v>
      </c>
    </row>
    <row r="31" spans="1:10" x14ac:dyDescent="0.25">
      <c r="A31" t="s">
        <v>99</v>
      </c>
      <c r="B31" t="s">
        <v>56</v>
      </c>
      <c r="C31" t="s">
        <v>56</v>
      </c>
      <c r="D31" t="s">
        <v>100</v>
      </c>
      <c r="E31" t="s">
        <v>11</v>
      </c>
      <c r="F31" t="s">
        <v>11</v>
      </c>
      <c r="G31" t="s">
        <v>11</v>
      </c>
      <c r="H31" t="s">
        <v>11</v>
      </c>
      <c r="I31" t="s">
        <v>58</v>
      </c>
      <c r="J31" t="s">
        <v>11</v>
      </c>
    </row>
    <row r="32" spans="1:10" x14ac:dyDescent="0.25">
      <c r="A32" t="s">
        <v>101</v>
      </c>
      <c r="B32" t="s">
        <v>9</v>
      </c>
      <c r="C32" t="s">
        <v>35</v>
      </c>
      <c r="D32" t="s">
        <v>102</v>
      </c>
      <c r="E32" s="4">
        <f>(670.955/747.683)*2</f>
        <v>1.7947579388591155</v>
      </c>
      <c r="F32" t="s">
        <v>11</v>
      </c>
      <c r="G32" t="s">
        <v>11</v>
      </c>
      <c r="H32" t="s">
        <v>11</v>
      </c>
      <c r="I32" t="s">
        <v>103</v>
      </c>
      <c r="J32" t="s">
        <v>11</v>
      </c>
    </row>
    <row r="33" spans="1:10" x14ac:dyDescent="0.25">
      <c r="A33" s="2" t="s">
        <v>104</v>
      </c>
      <c r="B33" s="2" t="s">
        <v>9</v>
      </c>
      <c r="C33" s="2" t="s">
        <v>31</v>
      </c>
      <c r="D33" s="2" t="s">
        <v>105</v>
      </c>
      <c r="E33" s="3">
        <f>(1408.687/402.616)*2</f>
        <v>6.9976702366522936</v>
      </c>
      <c r="F33" s="3">
        <f>1591.337/402.616</f>
        <v>3.9524931945079183</v>
      </c>
      <c r="G33" s="3">
        <f>(637.809/402.616)*2</f>
        <v>3.1683241599936416</v>
      </c>
      <c r="H33" s="3">
        <f>1330.932/402.616</f>
        <v>3.3057106523337376</v>
      </c>
      <c r="I33" s="2" t="s">
        <v>106</v>
      </c>
      <c r="J33" s="2" t="s">
        <v>107</v>
      </c>
    </row>
    <row r="34" spans="1:10" x14ac:dyDescent="0.25">
      <c r="A34" t="s">
        <v>137</v>
      </c>
      <c r="B34" t="s">
        <v>9</v>
      </c>
      <c r="C34" t="s">
        <v>9</v>
      </c>
      <c r="D34" t="s">
        <v>136</v>
      </c>
      <c r="E34" s="1">
        <f>(1282.395/289.8)*2</f>
        <v>8.850207039337473</v>
      </c>
      <c r="F34" s="1">
        <f>1585.07/289.8</f>
        <v>5.4695307108350582</v>
      </c>
      <c r="G34" s="1">
        <f>(621.058/289.8)*2</f>
        <v>4.2861145617667358</v>
      </c>
      <c r="H34" t="s">
        <v>15</v>
      </c>
      <c r="I34" t="s">
        <v>109</v>
      </c>
      <c r="J34" t="s">
        <v>110</v>
      </c>
    </row>
    <row r="35" spans="1:10" x14ac:dyDescent="0.25">
      <c r="A35" t="s">
        <v>135</v>
      </c>
      <c r="B35" t="s">
        <v>112</v>
      </c>
      <c r="C35" t="s">
        <v>9</v>
      </c>
      <c r="D35" t="s">
        <v>133</v>
      </c>
      <c r="E35" s="3">
        <f>(1176.605/290.302)*2</f>
        <v>8.1060757418136973</v>
      </c>
      <c r="F35" s="3">
        <f>1436.691/290.302</f>
        <v>4.9489531591239464</v>
      </c>
      <c r="G35" s="3">
        <f>(660.981/290.302)*2</f>
        <v>4.553747476765575</v>
      </c>
      <c r="H35" s="3">
        <f>1112.503/290.302</f>
        <v>3.8322264400520831</v>
      </c>
      <c r="I35" t="s">
        <v>113</v>
      </c>
      <c r="J35" t="s">
        <v>134</v>
      </c>
    </row>
    <row r="36" spans="1:10" x14ac:dyDescent="0.25">
      <c r="A36" t="s">
        <v>114</v>
      </c>
      <c r="B36" t="s">
        <v>112</v>
      </c>
      <c r="C36" t="s">
        <v>35</v>
      </c>
      <c r="D36" t="s">
        <v>115</v>
      </c>
      <c r="E36" t="s">
        <v>11</v>
      </c>
      <c r="F36" t="s">
        <v>11</v>
      </c>
      <c r="G36" t="s">
        <v>11</v>
      </c>
      <c r="H36" t="s">
        <v>11</v>
      </c>
      <c r="I36" t="s">
        <v>58</v>
      </c>
      <c r="J36" t="s">
        <v>11</v>
      </c>
    </row>
    <row r="37" spans="1:10" x14ac:dyDescent="0.25">
      <c r="A37" t="s">
        <v>116</v>
      </c>
      <c r="B37" t="s">
        <v>112</v>
      </c>
      <c r="C37" t="s">
        <v>112</v>
      </c>
      <c r="D37" t="s">
        <v>117</v>
      </c>
      <c r="E37" s="3">
        <f>1021.591/318.464</f>
        <v>3.2078696493167205</v>
      </c>
      <c r="F37" s="3">
        <f>621.136/318.464</f>
        <v>1.9504119774919613</v>
      </c>
      <c r="G37" s="3">
        <f>580.031/318.464</f>
        <v>1.821339303657556</v>
      </c>
      <c r="H37" s="3">
        <f>480.505/318.464</f>
        <v>1.5088204632234727</v>
      </c>
      <c r="I37" t="s">
        <v>118</v>
      </c>
      <c r="J37" t="s">
        <v>119</v>
      </c>
    </row>
    <row r="38" spans="1:10" x14ac:dyDescent="0.25">
      <c r="A38" t="s">
        <v>120</v>
      </c>
      <c r="B38" t="s">
        <v>9</v>
      </c>
      <c r="C38" t="s">
        <v>35</v>
      </c>
      <c r="D38" t="s">
        <v>121</v>
      </c>
      <c r="E38" s="1">
        <f>(954.497/1292.342)*2</f>
        <v>1.4771585230534949</v>
      </c>
      <c r="F38" s="1">
        <f>1070.414/1292.342</f>
        <v>0.82827455890159096</v>
      </c>
      <c r="G38" t="s">
        <v>11</v>
      </c>
      <c r="H38" t="s">
        <v>11</v>
      </c>
      <c r="I38" t="s">
        <v>122</v>
      </c>
      <c r="J38" t="s">
        <v>11</v>
      </c>
    </row>
    <row r="39" spans="1:10" x14ac:dyDescent="0.25">
      <c r="A39" t="s">
        <v>123</v>
      </c>
      <c r="B39" t="s">
        <v>9</v>
      </c>
      <c r="C39" t="s">
        <v>9</v>
      </c>
      <c r="D39" t="s">
        <v>124</v>
      </c>
      <c r="E39" s="3">
        <f>1119.691/1666.702</f>
        <v>0.67180035783241399</v>
      </c>
      <c r="F39" s="3">
        <f>597.438/1666.702</f>
        <v>0.35845520074974407</v>
      </c>
      <c r="G39" s="3">
        <f>663.55/1666.702</f>
        <v>0.39812155982293174</v>
      </c>
      <c r="H39" s="3">
        <f>364.858/1666.702</f>
        <v>0.21891015910462699</v>
      </c>
      <c r="I39" s="2" t="s">
        <v>125</v>
      </c>
      <c r="J39" t="s">
        <v>126</v>
      </c>
    </row>
    <row r="40" spans="1:10" x14ac:dyDescent="0.25">
      <c r="A40" t="s">
        <v>127</v>
      </c>
      <c r="B40" t="s">
        <v>9</v>
      </c>
      <c r="C40" t="s">
        <v>9</v>
      </c>
      <c r="D40" t="s">
        <v>128</v>
      </c>
      <c r="E40" t="s">
        <v>11</v>
      </c>
      <c r="F40" t="s">
        <v>11</v>
      </c>
      <c r="G40" t="s">
        <v>11</v>
      </c>
      <c r="H40" t="s">
        <v>11</v>
      </c>
      <c r="I40" t="s">
        <v>58</v>
      </c>
      <c r="J40" t="s">
        <v>11</v>
      </c>
    </row>
    <row r="41" spans="1:10" x14ac:dyDescent="0.25">
      <c r="A41" t="s">
        <v>129</v>
      </c>
      <c r="B41" t="s">
        <v>56</v>
      </c>
      <c r="C41" t="s">
        <v>72</v>
      </c>
      <c r="D41" t="s">
        <v>130</v>
      </c>
      <c r="E41" t="s">
        <v>11</v>
      </c>
      <c r="F41" t="s">
        <v>11</v>
      </c>
      <c r="G41" t="s">
        <v>11</v>
      </c>
      <c r="H41" t="s">
        <v>11</v>
      </c>
      <c r="I41" t="s">
        <v>58</v>
      </c>
      <c r="J41"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64856-B166-4F73-ADF7-728949D7C0B2}">
  <dimension ref="A1:G17"/>
  <sheetViews>
    <sheetView workbookViewId="0">
      <selection activeCell="E23" sqref="E23"/>
    </sheetView>
  </sheetViews>
  <sheetFormatPr baseColWidth="10" defaultRowHeight="15" x14ac:dyDescent="0.25"/>
  <sheetData>
    <row r="1" spans="1:7" x14ac:dyDescent="0.25">
      <c r="A1" t="s">
        <v>0</v>
      </c>
      <c r="B1" t="s">
        <v>4</v>
      </c>
      <c r="C1" t="s">
        <v>5</v>
      </c>
      <c r="D1" t="s">
        <v>131</v>
      </c>
      <c r="E1" t="s">
        <v>132</v>
      </c>
      <c r="G1" t="s">
        <v>138</v>
      </c>
    </row>
    <row r="2" spans="1:7" x14ac:dyDescent="0.25">
      <c r="A2" t="s">
        <v>92</v>
      </c>
      <c r="B2" s="3">
        <v>0.50648163570570093</v>
      </c>
      <c r="C2" s="3">
        <v>0.30381019099127343</v>
      </c>
      <c r="D2" s="3">
        <v>0.34295256049825262</v>
      </c>
      <c r="E2" s="3">
        <v>0.28072010372576683</v>
      </c>
      <c r="G2">
        <f>C2/B2</f>
        <v>0.59984443575720703</v>
      </c>
    </row>
    <row r="3" spans="1:7" x14ac:dyDescent="0.25">
      <c r="A3" t="s">
        <v>51</v>
      </c>
      <c r="B3" s="3">
        <v>0.52736062249612803</v>
      </c>
      <c r="C3" s="3">
        <v>0.30150682490039771</v>
      </c>
      <c r="D3" s="3">
        <v>0.30729713312274592</v>
      </c>
      <c r="E3" s="3">
        <v>0.2151099734869924</v>
      </c>
      <c r="G3">
        <f t="shared" ref="G3:G17" si="0">C3/B3</f>
        <v>0.57172798278584291</v>
      </c>
    </row>
    <row r="4" spans="1:7" x14ac:dyDescent="0.25">
      <c r="A4" t="s">
        <v>123</v>
      </c>
      <c r="B4" s="3">
        <v>0.67180035783241399</v>
      </c>
      <c r="C4" s="3">
        <v>0.35845520074974407</v>
      </c>
      <c r="D4" s="3">
        <v>0.39812155982293174</v>
      </c>
      <c r="E4" s="3">
        <v>0.21891015910462699</v>
      </c>
      <c r="G4">
        <f t="shared" si="0"/>
        <v>0.53357399496825453</v>
      </c>
    </row>
    <row r="5" spans="1:7" x14ac:dyDescent="0.25">
      <c r="A5" t="s">
        <v>67</v>
      </c>
      <c r="B5" s="3">
        <v>0.98373721098571609</v>
      </c>
      <c r="C5" s="3">
        <v>0.55948042324533065</v>
      </c>
      <c r="D5" s="3">
        <v>0.57378147724192985</v>
      </c>
      <c r="E5" s="3">
        <v>0.44116224366224083</v>
      </c>
      <c r="G5">
        <f t="shared" si="0"/>
        <v>0.56872955195496244</v>
      </c>
    </row>
    <row r="6" spans="1:7" x14ac:dyDescent="0.25">
      <c r="A6" t="s">
        <v>34</v>
      </c>
      <c r="B6" s="3">
        <v>1.37320855937311</v>
      </c>
      <c r="C6" s="3">
        <v>0.72883867014588199</v>
      </c>
      <c r="D6" s="3">
        <v>0.71095778247591002</v>
      </c>
      <c r="E6" s="3">
        <v>0.73059133212552796</v>
      </c>
      <c r="G6">
        <f t="shared" si="0"/>
        <v>0.53075599126661988</v>
      </c>
    </row>
    <row r="7" spans="1:7" x14ac:dyDescent="0.25">
      <c r="A7" t="s">
        <v>120</v>
      </c>
      <c r="B7" s="1">
        <v>1.4771585230534949</v>
      </c>
      <c r="C7" s="1">
        <v>0.82827455890159096</v>
      </c>
      <c r="D7" t="s">
        <v>11</v>
      </c>
      <c r="E7" t="s">
        <v>11</v>
      </c>
      <c r="G7">
        <f t="shared" si="0"/>
        <v>0.56072151091098243</v>
      </c>
    </row>
    <row r="8" spans="1:7" x14ac:dyDescent="0.25">
      <c r="A8" t="s">
        <v>16</v>
      </c>
      <c r="B8" s="1">
        <v>1.7559645992717079</v>
      </c>
      <c r="C8" s="1">
        <v>1.55565252341644</v>
      </c>
      <c r="D8" s="2" t="s">
        <v>11</v>
      </c>
      <c r="E8" s="2" t="s">
        <v>11</v>
      </c>
      <c r="G8">
        <f t="shared" si="0"/>
        <v>0.8859247641220398</v>
      </c>
    </row>
    <row r="9" spans="1:7" x14ac:dyDescent="0.25">
      <c r="A9" t="s">
        <v>76</v>
      </c>
      <c r="B9" s="1">
        <v>1.878680255181477</v>
      </c>
      <c r="C9" s="1">
        <v>1.0997943515538013</v>
      </c>
      <c r="D9" t="s">
        <v>11</v>
      </c>
      <c r="E9" t="s">
        <v>11</v>
      </c>
      <c r="G9">
        <f t="shared" si="0"/>
        <v>0.58540794715892897</v>
      </c>
    </row>
    <row r="10" spans="1:7" x14ac:dyDescent="0.25">
      <c r="A10" t="s">
        <v>8</v>
      </c>
      <c r="B10" s="1">
        <v>1.9599655009881001</v>
      </c>
      <c r="C10" s="1">
        <v>1.0127044401235901</v>
      </c>
      <c r="D10" s="2" t="s">
        <v>11</v>
      </c>
      <c r="E10" s="2" t="s">
        <v>11</v>
      </c>
      <c r="G10">
        <f t="shared" si="0"/>
        <v>0.51669503346515211</v>
      </c>
    </row>
    <row r="11" spans="1:7" x14ac:dyDescent="0.25">
      <c r="A11" t="s">
        <v>32</v>
      </c>
      <c r="B11" s="1">
        <v>2.0605502535445002</v>
      </c>
      <c r="C11" s="1">
        <v>1.3176015390501601</v>
      </c>
      <c r="D11" t="s">
        <v>11</v>
      </c>
      <c r="E11" t="s">
        <v>11</v>
      </c>
      <c r="G11">
        <f t="shared" si="0"/>
        <v>0.63944159419730684</v>
      </c>
    </row>
    <row r="12" spans="1:7" x14ac:dyDescent="0.25">
      <c r="A12" t="s">
        <v>22</v>
      </c>
      <c r="B12" s="1">
        <v>3.0160408681980502</v>
      </c>
      <c r="C12" s="1">
        <v>1.87516513544874</v>
      </c>
      <c r="D12" t="s">
        <v>11</v>
      </c>
      <c r="E12" t="s">
        <v>11</v>
      </c>
      <c r="G12">
        <f t="shared" si="0"/>
        <v>0.62173067852660346</v>
      </c>
    </row>
    <row r="13" spans="1:7" x14ac:dyDescent="0.25">
      <c r="A13" t="s">
        <v>116</v>
      </c>
      <c r="B13" s="3">
        <v>3.2078696493167205</v>
      </c>
      <c r="C13" s="3">
        <v>1.9504119774919613</v>
      </c>
      <c r="D13" s="3">
        <v>1.821339303657556</v>
      </c>
      <c r="E13" s="3">
        <v>1.5088204632234727</v>
      </c>
      <c r="G13">
        <f t="shared" si="0"/>
        <v>0.60800848872004543</v>
      </c>
    </row>
    <row r="14" spans="1:7" x14ac:dyDescent="0.25">
      <c r="A14" t="s">
        <v>79</v>
      </c>
      <c r="B14" s="1">
        <v>3.468257479217975</v>
      </c>
      <c r="C14" s="1">
        <v>1.9902808131895704</v>
      </c>
      <c r="D14" s="1">
        <v>1.6139474970285321</v>
      </c>
      <c r="E14" t="s">
        <v>11</v>
      </c>
      <c r="G14">
        <f t="shared" si="0"/>
        <v>0.57385612951618004</v>
      </c>
    </row>
    <row r="15" spans="1:7" x14ac:dyDescent="0.25">
      <c r="A15" s="2" t="s">
        <v>104</v>
      </c>
      <c r="B15" s="3">
        <v>6.9976702366522936</v>
      </c>
      <c r="C15" s="3">
        <v>3.9524931945079183</v>
      </c>
      <c r="D15" s="3">
        <v>3.1683241599936416</v>
      </c>
      <c r="E15" s="3">
        <v>3.3057106523337376</v>
      </c>
      <c r="G15">
        <f t="shared" si="0"/>
        <v>0.56482987349212421</v>
      </c>
    </row>
    <row r="16" spans="1:7" x14ac:dyDescent="0.25">
      <c r="A16" t="s">
        <v>139</v>
      </c>
      <c r="B16" s="3">
        <v>8.1060757418136973</v>
      </c>
      <c r="C16" s="3">
        <v>4.9489531591239464</v>
      </c>
      <c r="D16" s="3">
        <v>4.553747476765575</v>
      </c>
      <c r="E16" s="3">
        <v>3.8322264400520831</v>
      </c>
      <c r="G16">
        <f t="shared" si="0"/>
        <v>0.61052392264183819</v>
      </c>
    </row>
    <row r="17" spans="1:7" x14ac:dyDescent="0.25">
      <c r="A17" t="s">
        <v>140</v>
      </c>
      <c r="B17" s="1">
        <v>8.850207039337473</v>
      </c>
      <c r="C17" s="1">
        <v>5.4695307108350582</v>
      </c>
      <c r="D17" s="1">
        <v>4.2861145617667358</v>
      </c>
      <c r="E17" t="s">
        <v>11</v>
      </c>
      <c r="G17">
        <f t="shared" si="0"/>
        <v>0.61801161108706759</v>
      </c>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71B5D-164D-408D-AB62-9279393C974F}">
  <dimension ref="A1:G17"/>
  <sheetViews>
    <sheetView workbookViewId="0">
      <selection activeCell="E30" sqref="E30"/>
    </sheetView>
  </sheetViews>
  <sheetFormatPr baseColWidth="10" defaultRowHeight="15" x14ac:dyDescent="0.25"/>
  <cols>
    <col min="1" max="1" width="12" customWidth="1"/>
  </cols>
  <sheetData>
    <row r="1" spans="1:7" x14ac:dyDescent="0.25">
      <c r="A1" t="s">
        <v>0</v>
      </c>
      <c r="B1" t="s">
        <v>4</v>
      </c>
      <c r="C1" t="s">
        <v>5</v>
      </c>
      <c r="D1" t="s">
        <v>131</v>
      </c>
      <c r="E1" t="s">
        <v>132</v>
      </c>
      <c r="G1" t="s">
        <v>141</v>
      </c>
    </row>
    <row r="2" spans="1:7" x14ac:dyDescent="0.25">
      <c r="A2" t="s">
        <v>51</v>
      </c>
      <c r="B2" s="3">
        <v>0.52736062249612803</v>
      </c>
      <c r="C2" s="3">
        <v>0.30150682490039771</v>
      </c>
      <c r="D2" s="3">
        <v>0.30729713312274592</v>
      </c>
      <c r="E2" s="3">
        <v>0.2151099734869924</v>
      </c>
      <c r="G2">
        <f>E2/D2</f>
        <v>0.70000644425494674</v>
      </c>
    </row>
    <row r="3" spans="1:7" x14ac:dyDescent="0.25">
      <c r="A3" t="s">
        <v>123</v>
      </c>
      <c r="B3" s="3">
        <v>0.67180035783241399</v>
      </c>
      <c r="C3" s="3">
        <v>0.35845520074974407</v>
      </c>
      <c r="D3" s="3">
        <v>0.39812155982293174</v>
      </c>
      <c r="E3" s="3">
        <v>0.21891015910462699</v>
      </c>
      <c r="G3">
        <f t="shared" ref="G3:G17" si="0">E3/D3</f>
        <v>0.54985758420616382</v>
      </c>
    </row>
    <row r="4" spans="1:7" x14ac:dyDescent="0.25">
      <c r="A4" t="s">
        <v>92</v>
      </c>
      <c r="B4" s="3">
        <v>0.50648163570570093</v>
      </c>
      <c r="C4" s="3">
        <v>0.30381019099127343</v>
      </c>
      <c r="D4" s="3">
        <v>0.34295256049825262</v>
      </c>
      <c r="E4" s="3">
        <v>0.28072010372576683</v>
      </c>
      <c r="G4">
        <f t="shared" si="0"/>
        <v>0.81853916856001174</v>
      </c>
    </row>
    <row r="5" spans="1:7" x14ac:dyDescent="0.25">
      <c r="A5" t="s">
        <v>67</v>
      </c>
      <c r="B5" s="3">
        <v>0.98373721098571609</v>
      </c>
      <c r="C5" s="3">
        <v>0.55948042324533065</v>
      </c>
      <c r="D5" s="3">
        <v>0.57378147724192985</v>
      </c>
      <c r="E5" s="3">
        <v>0.44116224366224083</v>
      </c>
      <c r="G5">
        <f t="shared" si="0"/>
        <v>0.7688680467393838</v>
      </c>
    </row>
    <row r="6" spans="1:7" x14ac:dyDescent="0.25">
      <c r="A6" t="s">
        <v>34</v>
      </c>
      <c r="B6" s="3">
        <v>1.37320855937311</v>
      </c>
      <c r="C6" s="3">
        <v>0.72883867014588199</v>
      </c>
      <c r="D6" s="3">
        <v>0.71095778247591002</v>
      </c>
      <c r="E6" s="3">
        <v>0.73059133212552796</v>
      </c>
      <c r="G6">
        <f t="shared" si="0"/>
        <v>1.027615633633328</v>
      </c>
    </row>
    <row r="7" spans="1:7" x14ac:dyDescent="0.25">
      <c r="A7" t="s">
        <v>41</v>
      </c>
      <c r="B7" t="s">
        <v>11</v>
      </c>
      <c r="C7" t="s">
        <v>11</v>
      </c>
      <c r="D7" s="1">
        <v>0.73894384479461928</v>
      </c>
      <c r="E7" s="1">
        <v>0.82127441277210955</v>
      </c>
      <c r="G7">
        <f t="shared" si="0"/>
        <v>1.1114165420788817</v>
      </c>
    </row>
    <row r="8" spans="1:7" x14ac:dyDescent="0.25">
      <c r="A8" t="s">
        <v>19</v>
      </c>
      <c r="B8" t="s">
        <v>11</v>
      </c>
      <c r="C8" t="s">
        <v>11</v>
      </c>
      <c r="D8" s="1">
        <v>1.200107524084526</v>
      </c>
      <c r="E8" s="1">
        <v>0.90167727009832199</v>
      </c>
      <c r="G8">
        <f t="shared" si="0"/>
        <v>0.75133040332044032</v>
      </c>
    </row>
    <row r="9" spans="1:7" x14ac:dyDescent="0.25">
      <c r="A9" t="s">
        <v>89</v>
      </c>
      <c r="B9" t="s">
        <v>11</v>
      </c>
      <c r="C9" t="s">
        <v>11</v>
      </c>
      <c r="D9" s="1">
        <v>1.4415657551754022</v>
      </c>
      <c r="E9" s="1">
        <v>0.98138743605566725</v>
      </c>
      <c r="G9">
        <f t="shared" si="0"/>
        <v>0.68077882159198289</v>
      </c>
    </row>
    <row r="10" spans="1:7" x14ac:dyDescent="0.25">
      <c r="A10" t="s">
        <v>85</v>
      </c>
      <c r="B10" t="s">
        <v>11</v>
      </c>
      <c r="C10" s="1">
        <v>1.3515771095525211</v>
      </c>
      <c r="D10" s="1">
        <v>1.1615006397446157</v>
      </c>
      <c r="E10" s="1">
        <v>1.12225498209143</v>
      </c>
      <c r="G10">
        <f t="shared" si="0"/>
        <v>0.96621124749288578</v>
      </c>
    </row>
    <row r="11" spans="1:7" x14ac:dyDescent="0.25">
      <c r="A11" t="s">
        <v>49</v>
      </c>
      <c r="B11" t="s">
        <v>11</v>
      </c>
      <c r="C11" t="s">
        <v>11</v>
      </c>
      <c r="D11" s="1">
        <v>1.6483488896041198</v>
      </c>
      <c r="E11" s="1">
        <v>1.1459462504023175</v>
      </c>
      <c r="G11">
        <f t="shared" si="0"/>
        <v>0.69520855543970228</v>
      </c>
    </row>
    <row r="12" spans="1:7" x14ac:dyDescent="0.25">
      <c r="A12" t="s">
        <v>82</v>
      </c>
      <c r="B12" t="s">
        <v>11</v>
      </c>
      <c r="C12" t="s">
        <v>11</v>
      </c>
      <c r="D12" s="1">
        <v>1.5366457824726054</v>
      </c>
      <c r="E12" s="1">
        <v>1.2214678342194893</v>
      </c>
      <c r="G12">
        <f t="shared" si="0"/>
        <v>0.79489225698718569</v>
      </c>
    </row>
    <row r="13" spans="1:7" x14ac:dyDescent="0.25">
      <c r="A13" t="s">
        <v>28</v>
      </c>
      <c r="B13" s="1">
        <v>3.4089060714292998</v>
      </c>
      <c r="C13" t="s">
        <v>11</v>
      </c>
      <c r="D13" s="1">
        <v>1.5250415536251301</v>
      </c>
      <c r="E13" s="1">
        <v>1.4824697880100599</v>
      </c>
      <c r="G13">
        <f t="shared" si="0"/>
        <v>0.97208484876108847</v>
      </c>
    </row>
    <row r="14" spans="1:7" x14ac:dyDescent="0.25">
      <c r="A14" t="s">
        <v>116</v>
      </c>
      <c r="B14" s="3">
        <v>3.2078696493167205</v>
      </c>
      <c r="C14" s="3">
        <v>1.9504119774919613</v>
      </c>
      <c r="D14" s="3">
        <v>1.821339303657556</v>
      </c>
      <c r="E14" s="3">
        <v>1.5088204632234727</v>
      </c>
      <c r="G14">
        <f t="shared" si="0"/>
        <v>0.82841261932551891</v>
      </c>
    </row>
    <row r="15" spans="1:7" x14ac:dyDescent="0.25">
      <c r="A15" t="s">
        <v>63</v>
      </c>
      <c r="B15" t="s">
        <v>11</v>
      </c>
      <c r="C15" t="s">
        <v>11</v>
      </c>
      <c r="D15" s="1">
        <v>1.683957577193792</v>
      </c>
      <c r="E15" s="1">
        <v>1.7400251942577047</v>
      </c>
      <c r="G15">
        <f t="shared" si="0"/>
        <v>1.0332951481814321</v>
      </c>
    </row>
    <row r="16" spans="1:7" x14ac:dyDescent="0.25">
      <c r="A16" s="2" t="s">
        <v>104</v>
      </c>
      <c r="B16" s="3">
        <v>6.9976702366522936</v>
      </c>
      <c r="C16" s="3">
        <v>3.9524931945079183</v>
      </c>
      <c r="D16" s="3">
        <v>3.1683241599936416</v>
      </c>
      <c r="E16" s="3">
        <v>3.3057106523337376</v>
      </c>
      <c r="G16">
        <f t="shared" si="0"/>
        <v>1.0433625113474412</v>
      </c>
    </row>
    <row r="17" spans="1:7" x14ac:dyDescent="0.25">
      <c r="A17" t="s">
        <v>139</v>
      </c>
      <c r="B17" s="3">
        <v>8.1060757418136973</v>
      </c>
      <c r="C17" s="3">
        <v>4.9489531591239464</v>
      </c>
      <c r="D17" s="3">
        <v>4.553747476765575</v>
      </c>
      <c r="E17" s="3">
        <v>3.8322264400520831</v>
      </c>
      <c r="G17">
        <f t="shared" si="0"/>
        <v>0.84155444710211025</v>
      </c>
    </row>
  </sheetData>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F69D9-67B4-45C0-B8B9-C744B8CC7989}">
  <dimension ref="A1:E12"/>
  <sheetViews>
    <sheetView workbookViewId="0">
      <selection activeCell="E25" sqref="E25"/>
    </sheetView>
  </sheetViews>
  <sheetFormatPr baseColWidth="10" defaultRowHeight="15" x14ac:dyDescent="0.25"/>
  <cols>
    <col min="1" max="1" width="12" customWidth="1"/>
  </cols>
  <sheetData>
    <row r="1" spans="1:5" x14ac:dyDescent="0.25">
      <c r="A1" t="s">
        <v>0</v>
      </c>
      <c r="B1" t="s">
        <v>4</v>
      </c>
      <c r="C1" t="s">
        <v>5</v>
      </c>
      <c r="D1" t="s">
        <v>131</v>
      </c>
      <c r="E1" t="s">
        <v>132</v>
      </c>
    </row>
    <row r="2" spans="1:5" x14ac:dyDescent="0.25">
      <c r="A2" t="s">
        <v>51</v>
      </c>
      <c r="B2" s="3">
        <v>0.52736062249612803</v>
      </c>
      <c r="C2" s="3">
        <v>0.30150682490039771</v>
      </c>
      <c r="D2" s="3">
        <v>0.30729713312274592</v>
      </c>
      <c r="E2" s="3">
        <v>0.2151099734869924</v>
      </c>
    </row>
    <row r="3" spans="1:5" x14ac:dyDescent="0.25">
      <c r="A3" t="s">
        <v>92</v>
      </c>
      <c r="B3" s="3">
        <v>0.50648163570570093</v>
      </c>
      <c r="C3" s="3">
        <v>0.30381019099127343</v>
      </c>
      <c r="D3" s="3">
        <v>0.34295256049825262</v>
      </c>
      <c r="E3" s="3">
        <v>0.28072010372576683</v>
      </c>
    </row>
    <row r="4" spans="1:5" x14ac:dyDescent="0.25">
      <c r="A4" t="s">
        <v>123</v>
      </c>
      <c r="B4" s="3">
        <v>0.67180035783241399</v>
      </c>
      <c r="C4" s="3">
        <v>0.35845520074974407</v>
      </c>
      <c r="D4" s="3">
        <v>0.39812155982293174</v>
      </c>
      <c r="E4" s="3">
        <v>0.21891015910462699</v>
      </c>
    </row>
    <row r="5" spans="1:5" x14ac:dyDescent="0.25">
      <c r="A5" t="s">
        <v>67</v>
      </c>
      <c r="B5" s="3">
        <v>0.98373721098571609</v>
      </c>
      <c r="C5" s="3">
        <v>0.55948042324533065</v>
      </c>
      <c r="D5" s="3">
        <v>0.57378147724192985</v>
      </c>
      <c r="E5" s="3">
        <v>0.44116224366224083</v>
      </c>
    </row>
    <row r="6" spans="1:5" x14ac:dyDescent="0.25">
      <c r="A6" t="s">
        <v>34</v>
      </c>
      <c r="B6" s="3">
        <v>1.37320855937311</v>
      </c>
      <c r="C6" s="3">
        <v>0.72883867014588199</v>
      </c>
      <c r="D6" s="3">
        <v>0.71095778247591002</v>
      </c>
      <c r="E6" s="3">
        <v>0.73059133212552796</v>
      </c>
    </row>
    <row r="7" spans="1:5" x14ac:dyDescent="0.25">
      <c r="A7" t="s">
        <v>28</v>
      </c>
      <c r="B7" s="1">
        <v>3.4089060714292998</v>
      </c>
      <c r="C7" t="s">
        <v>15</v>
      </c>
      <c r="D7" s="1">
        <v>1.5250415536251301</v>
      </c>
      <c r="E7" s="1">
        <v>1.4824697880100599</v>
      </c>
    </row>
    <row r="8" spans="1:5" x14ac:dyDescent="0.25">
      <c r="A8" t="s">
        <v>79</v>
      </c>
      <c r="B8" s="1">
        <v>3.468257479217975</v>
      </c>
      <c r="C8" s="1">
        <v>1.9902808131895704</v>
      </c>
      <c r="D8" s="1">
        <v>1.6139474970285321</v>
      </c>
      <c r="E8" t="s">
        <v>11</v>
      </c>
    </row>
    <row r="9" spans="1:5" x14ac:dyDescent="0.25">
      <c r="A9" t="s">
        <v>116</v>
      </c>
      <c r="B9" s="3">
        <v>3.2078696493167205</v>
      </c>
      <c r="C9" s="3">
        <v>1.9504119774919613</v>
      </c>
      <c r="D9" s="3">
        <v>1.821339303657556</v>
      </c>
      <c r="E9" s="3">
        <v>1.5088204632234727</v>
      </c>
    </row>
    <row r="10" spans="1:5" x14ac:dyDescent="0.25">
      <c r="A10" s="2" t="s">
        <v>104</v>
      </c>
      <c r="B10" s="3">
        <v>6.9976702366522936</v>
      </c>
      <c r="C10" s="3">
        <v>3.9524931945079183</v>
      </c>
      <c r="D10" s="3">
        <v>3.1683241599936416</v>
      </c>
      <c r="E10" s="3">
        <v>3.3057106523337376</v>
      </c>
    </row>
    <row r="11" spans="1:5" x14ac:dyDescent="0.25">
      <c r="A11" t="s">
        <v>108</v>
      </c>
      <c r="B11" s="1">
        <v>8.850207039337473</v>
      </c>
      <c r="C11" s="1">
        <v>5.4695307108350582</v>
      </c>
      <c r="D11" s="1">
        <v>4.2861145617667358</v>
      </c>
      <c r="E11" t="s">
        <v>15</v>
      </c>
    </row>
    <row r="12" spans="1:5" x14ac:dyDescent="0.25">
      <c r="A12" t="s">
        <v>111</v>
      </c>
      <c r="B12" s="3">
        <v>8.1060757418136973</v>
      </c>
      <c r="C12" s="3">
        <v>4.9489531591239464</v>
      </c>
      <c r="D12" s="3">
        <v>4.553747476765575</v>
      </c>
      <c r="E12" s="3">
        <v>3.8322264400520831</v>
      </c>
    </row>
  </sheetData>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8A879-F057-418E-A592-18907256A0E7}">
  <dimension ref="A1:G10"/>
  <sheetViews>
    <sheetView workbookViewId="0">
      <selection activeCell="E30" sqref="E30"/>
    </sheetView>
  </sheetViews>
  <sheetFormatPr baseColWidth="10" defaultRowHeight="15" x14ac:dyDescent="0.25"/>
  <cols>
    <col min="1" max="1" width="12" customWidth="1"/>
  </cols>
  <sheetData>
    <row r="1" spans="1:7" x14ac:dyDescent="0.25">
      <c r="A1" t="s">
        <v>0</v>
      </c>
      <c r="B1" t="s">
        <v>4</v>
      </c>
      <c r="C1" t="s">
        <v>5</v>
      </c>
      <c r="D1" t="s">
        <v>131</v>
      </c>
      <c r="E1" t="s">
        <v>132</v>
      </c>
      <c r="G1" t="s">
        <v>142</v>
      </c>
    </row>
    <row r="2" spans="1:7" x14ac:dyDescent="0.25">
      <c r="A2" t="s">
        <v>51</v>
      </c>
      <c r="B2" s="3">
        <v>0.52736062249612803</v>
      </c>
      <c r="C2" s="3">
        <v>0.30150682490039771</v>
      </c>
      <c r="D2" s="3">
        <v>0.30729713312274592</v>
      </c>
      <c r="E2" s="3">
        <v>0.2151099734869924</v>
      </c>
      <c r="G2">
        <f>C2/E2</f>
        <v>1.4016403796294907</v>
      </c>
    </row>
    <row r="3" spans="1:7" x14ac:dyDescent="0.25">
      <c r="A3" t="s">
        <v>123</v>
      </c>
      <c r="B3" s="3">
        <v>0.67180035783241399</v>
      </c>
      <c r="C3" s="3">
        <v>0.35845520074974407</v>
      </c>
      <c r="D3" s="3">
        <v>0.39812155982293174</v>
      </c>
      <c r="E3" s="3">
        <v>0.21891015910462699</v>
      </c>
      <c r="G3">
        <f t="shared" ref="G3:G10" si="0">C3/E3</f>
        <v>1.6374534750505674</v>
      </c>
    </row>
    <row r="4" spans="1:7" x14ac:dyDescent="0.25">
      <c r="A4" t="s">
        <v>92</v>
      </c>
      <c r="B4" s="3">
        <v>0.50648163570570093</v>
      </c>
      <c r="C4" s="3">
        <v>0.30381019099127343</v>
      </c>
      <c r="D4" s="3">
        <v>0.34295256049825262</v>
      </c>
      <c r="E4" s="3">
        <v>0.28072010372576683</v>
      </c>
      <c r="G4">
        <f t="shared" si="0"/>
        <v>1.0822530590401289</v>
      </c>
    </row>
    <row r="5" spans="1:7" x14ac:dyDescent="0.25">
      <c r="A5" t="s">
        <v>67</v>
      </c>
      <c r="B5" s="3">
        <v>0.98373721098571609</v>
      </c>
      <c r="C5" s="3">
        <v>0.55948042324533065</v>
      </c>
      <c r="D5" s="3">
        <v>0.57378147724192985</v>
      </c>
      <c r="E5" s="3">
        <v>0.44116224366224083</v>
      </c>
      <c r="G5">
        <f t="shared" si="0"/>
        <v>1.2681965224423777</v>
      </c>
    </row>
    <row r="6" spans="1:7" x14ac:dyDescent="0.25">
      <c r="A6" t="s">
        <v>34</v>
      </c>
      <c r="B6" s="3">
        <v>1.37320855937311</v>
      </c>
      <c r="C6" s="3">
        <v>0.72883867014588199</v>
      </c>
      <c r="D6" s="3">
        <v>0.71095778247591002</v>
      </c>
      <c r="E6" s="3">
        <v>0.73059133212552796</v>
      </c>
      <c r="G6">
        <f t="shared" si="0"/>
        <v>0.99760103644461962</v>
      </c>
    </row>
    <row r="7" spans="1:7" x14ac:dyDescent="0.25">
      <c r="A7" t="s">
        <v>85</v>
      </c>
      <c r="B7" t="s">
        <v>11</v>
      </c>
      <c r="C7" s="1">
        <v>1.3515771095525211</v>
      </c>
      <c r="D7" s="1">
        <v>1.1615006397446157</v>
      </c>
      <c r="E7" s="1">
        <v>1.12225498209143</v>
      </c>
      <c r="G7">
        <f t="shared" si="0"/>
        <v>1.2043404851130419</v>
      </c>
    </row>
    <row r="8" spans="1:7" x14ac:dyDescent="0.25">
      <c r="A8" t="s">
        <v>116</v>
      </c>
      <c r="B8" s="3">
        <v>3.2078696493167205</v>
      </c>
      <c r="C8" s="3">
        <v>1.9504119774919613</v>
      </c>
      <c r="D8" s="3">
        <v>1.821339303657556</v>
      </c>
      <c r="E8" s="3">
        <v>1.5088204632234727</v>
      </c>
      <c r="G8">
        <f t="shared" si="0"/>
        <v>1.2926733332639617</v>
      </c>
    </row>
    <row r="9" spans="1:7" x14ac:dyDescent="0.25">
      <c r="A9" s="2" t="s">
        <v>104</v>
      </c>
      <c r="B9" s="3">
        <v>6.9976702366522936</v>
      </c>
      <c r="C9" s="3">
        <v>3.9524931945079183</v>
      </c>
      <c r="D9" s="3">
        <v>3.1683241599936416</v>
      </c>
      <c r="E9" s="3">
        <v>3.3057106523337376</v>
      </c>
      <c r="G9">
        <f t="shared" si="0"/>
        <v>1.1956561266841581</v>
      </c>
    </row>
    <row r="10" spans="1:7" x14ac:dyDescent="0.25">
      <c r="A10" t="s">
        <v>139</v>
      </c>
      <c r="B10" s="3">
        <v>8.1060757418136973</v>
      </c>
      <c r="C10" s="3">
        <v>4.9489531591239464</v>
      </c>
      <c r="D10" s="3">
        <v>4.553747476765575</v>
      </c>
      <c r="E10" s="3">
        <v>3.8322264400520831</v>
      </c>
      <c r="G10">
        <f t="shared" si="0"/>
        <v>1.2914041580112594</v>
      </c>
    </row>
  </sheetData>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0DFAF-F7E2-4F38-A316-3419D1FA62B4}">
  <dimension ref="A1:F25"/>
  <sheetViews>
    <sheetView tabSelected="1" topLeftCell="A7" workbookViewId="0">
      <selection activeCell="J16" sqref="J16"/>
    </sheetView>
  </sheetViews>
  <sheetFormatPr baseColWidth="10" defaultRowHeight="15" x14ac:dyDescent="0.25"/>
  <sheetData>
    <row r="1" spans="1:6" x14ac:dyDescent="0.25">
      <c r="A1" t="s">
        <v>0</v>
      </c>
      <c r="B1" t="s">
        <v>4</v>
      </c>
      <c r="C1" t="s">
        <v>5</v>
      </c>
      <c r="D1" t="s">
        <v>131</v>
      </c>
      <c r="E1" t="s">
        <v>132</v>
      </c>
      <c r="F1" t="s">
        <v>143</v>
      </c>
    </row>
    <row r="2" spans="1:6" x14ac:dyDescent="0.25">
      <c r="A2" t="s">
        <v>92</v>
      </c>
      <c r="B2" s="3">
        <v>0.50648163570570093</v>
      </c>
      <c r="C2" s="3">
        <v>0.30381019099127343</v>
      </c>
      <c r="D2" s="3">
        <v>0.34295256049825262</v>
      </c>
      <c r="E2" s="3">
        <v>0.28072010372576683</v>
      </c>
      <c r="F2" s="2" t="s">
        <v>145</v>
      </c>
    </row>
    <row r="3" spans="1:6" x14ac:dyDescent="0.25">
      <c r="A3" t="s">
        <v>51</v>
      </c>
      <c r="B3" s="3">
        <v>0.52736062249612803</v>
      </c>
      <c r="C3" s="3">
        <v>0.30150682490039771</v>
      </c>
      <c r="D3" s="3">
        <v>0.30729713312274592</v>
      </c>
      <c r="E3" s="3">
        <v>0.2151099734869924</v>
      </c>
      <c r="F3" s="2" t="s">
        <v>145</v>
      </c>
    </row>
    <row r="4" spans="1:6" x14ac:dyDescent="0.25">
      <c r="A4" t="s">
        <v>123</v>
      </c>
      <c r="B4" s="3">
        <v>0.67180035783241399</v>
      </c>
      <c r="C4" s="3">
        <v>0.35845520074974407</v>
      </c>
      <c r="D4" s="3">
        <v>0.39812155982293174</v>
      </c>
      <c r="E4" s="3">
        <v>0.21891015910462699</v>
      </c>
      <c r="F4" s="2" t="s">
        <v>145</v>
      </c>
    </row>
    <row r="5" spans="1:6" x14ac:dyDescent="0.25">
      <c r="A5" t="s">
        <v>67</v>
      </c>
      <c r="B5" s="3">
        <v>0.98373721098571609</v>
      </c>
      <c r="C5" s="3">
        <v>0.55948042324533065</v>
      </c>
      <c r="D5" s="3">
        <v>0.57378147724192985</v>
      </c>
      <c r="E5" s="3">
        <v>0.44116224366224083</v>
      </c>
      <c r="F5" s="2" t="s">
        <v>146</v>
      </c>
    </row>
    <row r="6" spans="1:6" x14ac:dyDescent="0.25">
      <c r="A6" t="s">
        <v>34</v>
      </c>
      <c r="B6" s="3">
        <v>1.37320855937311</v>
      </c>
      <c r="C6" s="3">
        <v>0.72883867014588199</v>
      </c>
      <c r="D6" s="3">
        <v>0.71095778247591002</v>
      </c>
      <c r="E6" s="3">
        <v>0.73059133212552796</v>
      </c>
      <c r="F6" s="2" t="s">
        <v>147</v>
      </c>
    </row>
    <row r="7" spans="1:6" x14ac:dyDescent="0.25">
      <c r="A7" t="s">
        <v>120</v>
      </c>
      <c r="B7" s="1">
        <v>1.4771585230534949</v>
      </c>
      <c r="C7" s="1">
        <v>0.82827455890159096</v>
      </c>
      <c r="D7" t="s">
        <v>11</v>
      </c>
      <c r="E7" t="s">
        <v>11</v>
      </c>
      <c r="F7" s="2" t="s">
        <v>147</v>
      </c>
    </row>
    <row r="8" spans="1:6" x14ac:dyDescent="0.25">
      <c r="A8" t="s">
        <v>41</v>
      </c>
      <c r="B8" t="s">
        <v>11</v>
      </c>
      <c r="C8" t="s">
        <v>11</v>
      </c>
      <c r="D8" s="1">
        <v>0.73894384479461928</v>
      </c>
      <c r="E8" s="1">
        <v>0.82127441277210955</v>
      </c>
      <c r="F8" s="2" t="s">
        <v>147</v>
      </c>
    </row>
    <row r="9" spans="1:6" x14ac:dyDescent="0.25">
      <c r="A9" t="s">
        <v>16</v>
      </c>
      <c r="B9" s="1">
        <v>1.7559645992717079</v>
      </c>
      <c r="C9" s="1">
        <v>1.55565252341644</v>
      </c>
      <c r="D9" s="2" t="s">
        <v>11</v>
      </c>
      <c r="E9" s="2" t="s">
        <v>11</v>
      </c>
      <c r="F9" s="2" t="s">
        <v>148</v>
      </c>
    </row>
    <row r="10" spans="1:6" x14ac:dyDescent="0.25">
      <c r="A10" t="s">
        <v>76</v>
      </c>
      <c r="B10" s="1">
        <v>1.878680255181477</v>
      </c>
      <c r="C10" s="1">
        <v>1.0997943515538013</v>
      </c>
      <c r="D10" t="s">
        <v>11</v>
      </c>
      <c r="E10" t="s">
        <v>11</v>
      </c>
      <c r="F10" s="2" t="s">
        <v>148</v>
      </c>
    </row>
    <row r="11" spans="1:6" x14ac:dyDescent="0.25">
      <c r="A11" t="s">
        <v>8</v>
      </c>
      <c r="B11" s="1">
        <v>1.9599655009881001</v>
      </c>
      <c r="C11" s="1">
        <v>1.0127044401235901</v>
      </c>
      <c r="D11" s="2" t="s">
        <v>11</v>
      </c>
      <c r="E11" s="2" t="s">
        <v>11</v>
      </c>
      <c r="F11" s="2" t="s">
        <v>148</v>
      </c>
    </row>
    <row r="12" spans="1:6" x14ac:dyDescent="0.25">
      <c r="A12" t="s">
        <v>32</v>
      </c>
      <c r="B12" s="1">
        <v>2.0605502535445002</v>
      </c>
      <c r="C12" s="1">
        <v>1.3176015390501601</v>
      </c>
      <c r="D12" t="s">
        <v>11</v>
      </c>
      <c r="E12" t="s">
        <v>11</v>
      </c>
      <c r="F12" s="2" t="s">
        <v>148</v>
      </c>
    </row>
    <row r="13" spans="1:6" x14ac:dyDescent="0.25">
      <c r="A13" t="s">
        <v>19</v>
      </c>
      <c r="B13" t="s">
        <v>11</v>
      </c>
      <c r="C13" t="s">
        <v>11</v>
      </c>
      <c r="D13" s="1">
        <v>1.200107524084526</v>
      </c>
      <c r="E13" s="1">
        <v>0.90167727009832199</v>
      </c>
      <c r="F13" s="2" t="s">
        <v>148</v>
      </c>
    </row>
    <row r="14" spans="1:6" x14ac:dyDescent="0.25">
      <c r="A14" t="s">
        <v>85</v>
      </c>
      <c r="B14" t="s">
        <v>11</v>
      </c>
      <c r="C14" s="1">
        <v>1.3515771095525211</v>
      </c>
      <c r="D14" s="1">
        <v>1.1615006397446157</v>
      </c>
      <c r="E14" s="1">
        <v>1.12225498209143</v>
      </c>
      <c r="F14" s="2" t="s">
        <v>148</v>
      </c>
    </row>
    <row r="15" spans="1:6" x14ac:dyDescent="0.25">
      <c r="A15" t="s">
        <v>89</v>
      </c>
      <c r="B15" t="s">
        <v>11</v>
      </c>
      <c r="C15" t="s">
        <v>11</v>
      </c>
      <c r="D15" s="1">
        <v>1.4415657551754022</v>
      </c>
      <c r="E15" s="1">
        <v>0.98138743605566725</v>
      </c>
      <c r="F15" s="2" t="s">
        <v>89</v>
      </c>
    </row>
    <row r="16" spans="1:6" x14ac:dyDescent="0.25">
      <c r="A16" t="s">
        <v>22</v>
      </c>
      <c r="B16" s="1">
        <v>3.0160408681980502</v>
      </c>
      <c r="C16" s="1">
        <v>1.87516513544874</v>
      </c>
      <c r="D16" t="s">
        <v>11</v>
      </c>
      <c r="E16" t="s">
        <v>11</v>
      </c>
      <c r="F16" s="2" t="s">
        <v>149</v>
      </c>
    </row>
    <row r="17" spans="1:6" x14ac:dyDescent="0.25">
      <c r="A17" t="s">
        <v>116</v>
      </c>
      <c r="B17" s="3">
        <v>3.2078696493167205</v>
      </c>
      <c r="C17" s="3">
        <v>1.9504119774919613</v>
      </c>
      <c r="D17" s="3">
        <v>1.821339303657556</v>
      </c>
      <c r="E17" s="3">
        <v>1.5088204632234727</v>
      </c>
      <c r="F17" s="2" t="s">
        <v>149</v>
      </c>
    </row>
    <row r="18" spans="1:6" x14ac:dyDescent="0.25">
      <c r="A18" t="s">
        <v>28</v>
      </c>
      <c r="B18" s="1">
        <v>3.4089060714292998</v>
      </c>
      <c r="C18" t="s">
        <v>15</v>
      </c>
      <c r="D18" s="1">
        <v>1.5250415536251301</v>
      </c>
      <c r="E18" s="1">
        <v>1.4824697880100599</v>
      </c>
      <c r="F18" s="2" t="s">
        <v>149</v>
      </c>
    </row>
    <row r="19" spans="1:6" x14ac:dyDescent="0.25">
      <c r="A19" t="s">
        <v>79</v>
      </c>
      <c r="B19" s="1">
        <v>3.468257479217975</v>
      </c>
      <c r="C19" s="1">
        <v>1.9902808131895704</v>
      </c>
      <c r="D19" s="1">
        <v>1.6139474970285321</v>
      </c>
      <c r="E19" t="s">
        <v>11</v>
      </c>
      <c r="F19" s="2" t="s">
        <v>149</v>
      </c>
    </row>
    <row r="20" spans="1:6" x14ac:dyDescent="0.25">
      <c r="A20" t="s">
        <v>49</v>
      </c>
      <c r="B20" t="s">
        <v>11</v>
      </c>
      <c r="C20" t="s">
        <v>11</v>
      </c>
      <c r="D20" s="1">
        <v>1.6483488896041198</v>
      </c>
      <c r="E20" s="1">
        <v>1.1459462504023175</v>
      </c>
      <c r="F20" s="2" t="s">
        <v>149</v>
      </c>
    </row>
    <row r="21" spans="1:6" x14ac:dyDescent="0.25">
      <c r="A21" t="s">
        <v>82</v>
      </c>
      <c r="B21" t="s">
        <v>11</v>
      </c>
      <c r="C21" t="s">
        <v>11</v>
      </c>
      <c r="D21" s="1">
        <v>1.5366457824726054</v>
      </c>
      <c r="E21" s="1">
        <v>1.2214678342194893</v>
      </c>
      <c r="F21" s="2" t="s">
        <v>149</v>
      </c>
    </row>
    <row r="22" spans="1:6" x14ac:dyDescent="0.25">
      <c r="A22" t="s">
        <v>63</v>
      </c>
      <c r="B22" t="s">
        <v>11</v>
      </c>
      <c r="C22" t="s">
        <v>11</v>
      </c>
      <c r="D22" s="1">
        <v>1.683957577193792</v>
      </c>
      <c r="E22" s="1">
        <v>1.7400251942577047</v>
      </c>
      <c r="F22" t="s">
        <v>144</v>
      </c>
    </row>
    <row r="23" spans="1:6" x14ac:dyDescent="0.25">
      <c r="A23" s="2" t="s">
        <v>104</v>
      </c>
      <c r="B23" s="3">
        <v>6.9976702366522936</v>
      </c>
      <c r="C23" s="3">
        <v>3.9524931945079183</v>
      </c>
      <c r="D23" s="3">
        <v>3.1683241599936416</v>
      </c>
      <c r="E23" s="3">
        <v>3.3057106523337376</v>
      </c>
      <c r="F23" s="2" t="s">
        <v>150</v>
      </c>
    </row>
    <row r="24" spans="1:6" x14ac:dyDescent="0.25">
      <c r="A24" t="s">
        <v>139</v>
      </c>
      <c r="B24" s="3">
        <v>8.1060757418136973</v>
      </c>
      <c r="C24" s="3">
        <v>4.9489531591239464</v>
      </c>
      <c r="D24" s="3">
        <v>4.553747476765575</v>
      </c>
      <c r="E24" s="3">
        <v>3.8322264400520831</v>
      </c>
      <c r="F24" s="2" t="s">
        <v>151</v>
      </c>
    </row>
    <row r="25" spans="1:6" x14ac:dyDescent="0.25">
      <c r="A25" t="s">
        <v>140</v>
      </c>
      <c r="B25" s="1">
        <v>8.850207039337473</v>
      </c>
      <c r="C25" s="1">
        <v>5.4695307108350582</v>
      </c>
      <c r="D25" s="1">
        <v>4.2861145617667358</v>
      </c>
      <c r="E25" t="s">
        <v>11</v>
      </c>
      <c r="F25" s="2" t="s">
        <v>152</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Main Table</vt:lpstr>
      <vt:lpstr>PL against PW</vt:lpstr>
      <vt:lpstr>OL against OW</vt:lpstr>
      <vt:lpstr>PW against OW</vt:lpstr>
      <vt:lpstr>PL against OL</vt:lpstr>
      <vt:lpstr>Final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Eren</dc:creator>
  <cp:lastModifiedBy>Tasimov, Eren</cp:lastModifiedBy>
  <dcterms:created xsi:type="dcterms:W3CDTF">2015-06-05T18:19:34Z</dcterms:created>
  <dcterms:modified xsi:type="dcterms:W3CDTF">2025-07-06T20:11:11Z</dcterms:modified>
</cp:coreProperties>
</file>