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png" ContentType="image/p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comments/comment1.xml" ContentType="application/vnd.openxmlformats-officedocument.spreadsheetml.comments+xml"/>
  <Override PartName="/xl/worksheets/sheet2.xml" ContentType="application/vnd.openxmlformats-officedocument.spreadsheetml.worksheet+xml"/>
  <Override PartName="/xl/drawings/drawing1.xml" ContentType="application/vnd.openxmlformats-officedocument.drawing+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drawings/drawing2.xml" ContentType="application/vnd.openxmlformats-officedocument.drawing+xml"/>
  <Override PartName="/xl/worksheets/sheet7.xml" ContentType="application/vnd.openxmlformats-officedocument.spreadsheetml.worksheet+xml"/>
  <Override PartName="/xl/worksheets/sheet8.xml" ContentType="application/vnd.openxmlformats-officedocument.spreadsheetml.worksheet+xml"/>
  <Override PartName="/xl/drawings/drawing3.xml" ContentType="application/vnd.openxmlformats-officedocument.drawing+xml"/>
  <Override PartName="/xl/worksheets/sheet9.xml" ContentType="application/vnd.openxmlformats-officedocument.spreadsheetml.worksheet+xml"/>
  <Override PartName="/xl/drawings/drawing4.xml" ContentType="application/vnd.openxmlformats-officedocument.drawing+xml"/>
  <Override PartName="/xl/worksheets/sheet10.xml" ContentType="application/vnd.openxmlformats-officedocument.spreadsheetml.worksheet+xml"/>
  <Override PartName="/xl/drawings/drawing5.xml" ContentType="application/vnd.openxmlformats-officedocument.drawing+xml"/>
  <Override PartName="/xl/worksheets/sheet11.xml" ContentType="application/vnd.openxmlformats-officedocument.spreadsheetml.worksheet+xml"/>
  <Override PartName="/xl/drawings/drawing6.xml" ContentType="application/vnd.openxmlformats-officedocument.drawing+xml"/>
  <Override PartName="/xl/worksheets/sheet12.xml" ContentType="application/vnd.openxmlformats-officedocument.spreadsheetml.worksheet+xml"/>
  <Override PartName="/xl/drawings/drawing7.xml" ContentType="application/vnd.openxmlformats-officedocument.drawing+xml"/>
  <Override PartName="/xl/worksheets/sheet13.xml" ContentType="application/vnd.openxmlformats-officedocument.spreadsheetml.worksheet+xml"/>
  <Override PartName="/xl/drawings/drawing8.xml" ContentType="application/vnd.openxmlformats-officedocument.drawing+xml"/>
  <Override PartName="/xl/worksheets/sheet14.xml" ContentType="application/vnd.openxmlformats-officedocument.spreadsheetml.worksheet+xml"/>
  <Override PartName="/xl/drawings/drawing9.xml" ContentType="application/vnd.openxmlformats-officedocument.drawing+xml"/>
  <Override PartName="/xl/worksheets/sheet15.xml" ContentType="application/vnd.openxmlformats-officedocument.spreadsheetml.worksheet+xml"/>
  <Override PartName="/xl/drawings/drawing10.xml" ContentType="application/vnd.openxmlformats-officedocument.drawing+xml"/>
  <Override PartName="/xl/worksheets/sheet16.xml" ContentType="application/vnd.openxmlformats-officedocument.spreadsheetml.worksheet+xml"/>
  <Override PartName="/xl/drawings/drawing11.xml" ContentType="application/vnd.openxmlformats-officedocument.drawing+xml"/>
  <Override PartName="/xl/worksheets/sheet17.xml" ContentType="application/vnd.openxmlformats-officedocument.spreadsheetml.worksheet+xml"/>
  <Override PartName="/xl/drawings/drawing12.xml" ContentType="application/vnd.openxmlformats-officedocument.drawing+xml"/>
  <Override PartName="/xl/worksheets/sheet18.xml" ContentType="application/vnd.openxmlformats-officedocument.spreadsheetml.worksheet+xml"/>
  <Override PartName="/xl/drawings/drawing13.xml" ContentType="application/vnd.openxmlformats-officedocument.drawing+xml"/>
  <Override PartName="/xl/worksheets/sheet19.xml" ContentType="application/vnd.openxmlformats-officedocument.spreadsheetml.worksheet+xml"/>
  <Override PartName="/xl/drawings/drawing14.xml" ContentType="application/vnd.openxmlformats-officedocument.drawing+xml"/>
  <Override PartName="/xl/worksheets/sheet20.xml" ContentType="application/vnd.openxmlformats-officedocument.spreadsheetml.worksheet+xml"/>
  <Override PartName="/xl/drawings/drawing15.xml" ContentType="application/vnd.openxmlformats-officedocument.drawing+xml"/>
  <Override PartName="/xl/worksheets/sheet21.xml" ContentType="application/vnd.openxmlformats-officedocument.spreadsheetml.worksheet+xml"/>
  <Override PartName="/xl/drawings/drawing16.xml" ContentType="application/vnd.openxmlformats-officedocument.drawing+xml"/>
  <Override PartName="/xl/worksheets/sheet22.xml" ContentType="application/vnd.openxmlformats-officedocument.spreadsheetml.worksheet+xml"/>
  <Override PartName="/xl/drawings/drawing17.xml" ContentType="application/vnd.openxmlformats-officedocument.drawing+xml"/>
  <Override PartName="/xl/worksheets/sheet23.xml" ContentType="application/vnd.openxmlformats-officedocument.spreadsheetml.worksheet+xml"/>
  <Override PartName="/xl/drawings/drawing18.xml" ContentType="application/vnd.openxmlformats-officedocument.drawing+xml"/>
  <Override PartName="/xl/worksheets/sheet24.xml" ContentType="application/vnd.openxmlformats-officedocument.spreadsheetml.worksheet+xml"/>
  <Override PartName="/xl/drawings/drawing19.xml" ContentType="application/vnd.openxmlformats-officedocument.drawing+xml"/>
  <Override PartName="/xl/worksheets/sheet25.xml" ContentType="application/vnd.openxmlformats-officedocument.spreadsheetml.worksheet+xml"/>
  <Override PartName="/xl/drawings/drawing20.xml" ContentType="application/vnd.openxmlformats-officedocument.drawing+xml"/>
  <Override PartName="/xl/worksheets/sheet26.xml" ContentType="application/vnd.openxmlformats-officedocument.spreadsheetml.worksheet+xml"/>
  <Override PartName="/xl/drawings/drawing21.xml" ContentType="application/vnd.openxmlformats-officedocument.drawing+xml"/>
  <Override PartName="/xl/worksheets/sheet27.xml" ContentType="application/vnd.openxmlformats-officedocument.spreadsheetml.worksheet+xml"/>
  <Override PartName="/xl/drawings/drawing22.xml" ContentType="application/vnd.openxmlformats-officedocument.drawing+xml"/>
  <Override PartName="/xl/worksheets/sheet28.xml" ContentType="application/vnd.openxmlformats-officedocument.spreadsheetml.worksheet+xml"/>
  <Override PartName="/xl/drawings/drawing23.xml" ContentType="application/vnd.openxmlformats-officedocument.drawing+xml"/>
  <Override PartName="/xl/worksheets/sheet29.xml" ContentType="application/vnd.openxmlformats-officedocument.spreadsheetml.worksheet+xml"/>
  <Override PartName="/xl/drawings/drawing24.xml" ContentType="application/vnd.openxmlformats-officedocument.drawing+xml"/>
  <Override PartName="/xl/worksheets/sheet30.xml" ContentType="application/vnd.openxmlformats-officedocument.spreadsheetml.worksheet+xml"/>
  <Override PartName="/xl/drawings/drawing25.xml" ContentType="application/vnd.openxmlformats-officedocument.drawing+xml"/>
  <Override PartName="/xl/worksheets/sheet31.xml" ContentType="application/vnd.openxmlformats-officedocument.spreadsheetml.worksheet+xml"/>
  <Override PartName="/xl/drawings/drawing26.xml" ContentType="application/vnd.openxmlformats-officedocument.drawing+xml"/>
  <Override PartName="/xl/worksheets/sheet32.xml" ContentType="application/vnd.openxmlformats-officedocument.spreadsheetml.worksheet+xml"/>
  <Override PartName="/xl/drawings/drawing27.xml" ContentType="application/vnd.openxmlformats-officedocument.drawing+xml"/>
  <Override PartName="/xl/worksheets/sheet33.xml" ContentType="application/vnd.openxmlformats-officedocument.spreadsheetml.worksheet+xml"/>
  <Override PartName="/xl/drawings/drawing28.xml" ContentType="application/vnd.openxmlformats-officedocument.drawing+xml"/>
  <Override PartName="/xl/worksheets/sheet3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0" yWindow="500" windowWidth="27980" windowHeight="11500" tabRatio="926" firstSheet="0" activeTab="5" autoFilterDateGrouping="1"/>
  </bookViews>
  <sheets>
    <sheet name="Data" sheetId="1" state="hidden" r:id="rId1"/>
    <sheet name="Read Me" sheetId="2" state="hidden" r:id="rId2"/>
    <sheet name="Errors" sheetId="3" state="hidden" r:id="rId3"/>
    <sheet name="Validations" sheetId="4" state="hidden" r:id="rId4"/>
    <sheet name="ValidationList" sheetId="5" state="hidden" r:id="rId5"/>
    <sheet name="Macros_Disabled" sheetId="6" state="visible" r:id="rId6"/>
    <sheet name="ImportCsv" sheetId="7" state="hidden" r:id="rId7"/>
    <sheet name="A_Basic_Info" sheetId="8" state="hidden" r:id="rId8"/>
    <sheet name="B_Profit_Loss_Account_Self" sheetId="9" state="hidden" r:id="rId9"/>
    <sheet name="B_Profit_Loss_Account_Wife" sheetId="10" state="hidden" r:id="rId10"/>
    <sheet name="C_Balance_Sheet" sheetId="11" state="hidden" r:id="rId11"/>
    <sheet name="D_Stock_Analysis" sheetId="12" state="hidden" r:id="rId12"/>
    <sheet name="E1_IDA_CA" sheetId="13" state="hidden" r:id="rId13"/>
    <sheet name="E2_CA_WTA_WDV" sheetId="14" state="hidden" r:id="rId14"/>
    <sheet name="E2_CA_WTA_SLM" sheetId="15" state="hidden" r:id="rId15"/>
    <sheet name="E_Summary_of_Capital_Allowance" sheetId="16" state="hidden" r:id="rId16"/>
    <sheet name="F_Employment_Income" sheetId="17" state="hidden" r:id="rId17"/>
    <sheet name="G_Partnership_Income" sheetId="18" state="hidden" r:id="rId18"/>
    <sheet name="H_Estate_Trust_Income" sheetId="19" state="hidden" r:id="rId19"/>
    <sheet name="I_Computation_of_Car_Benefit" sheetId="20" state="hidden" r:id="rId20"/>
    <sheet name="J_Computation_of_Mortgage" sheetId="21" state="hidden" r:id="rId21"/>
    <sheet name="K_Home_Ownership_Saving_Plan" sheetId="22" state="hidden" r:id="rId22"/>
    <sheet name="L_Computation_of_Insu_Relief" sheetId="23" state="hidden" r:id="rId23"/>
    <sheet name="M_Details_of_PAYE_Deducted" sheetId="24" state="hidden" r:id="rId24"/>
    <sheet name="N_Installment_Tax_Credits" sheetId="25" state="hidden" r:id="rId25"/>
    <sheet name="O_WHT_Credits" sheetId="26" state="hidden" r:id="rId26"/>
    <sheet name="P_Advance_Tax_Credits" sheetId="27" state="hidden" r:id="rId27"/>
    <sheet name="Q_IT_Payment_Credits" sheetId="28" state="hidden" r:id="rId28"/>
    <sheet name="R_DTAA_Credits" sheetId="29" state="hidden" r:id="rId29"/>
    <sheet name="S_Previous_Years_Losses" sheetId="30" state="hidden" r:id="rId30"/>
    <sheet name="T_Income_Computation_Self" sheetId="31" state="hidden" r:id="rId31"/>
    <sheet name="T_Income_Computation_Wife" sheetId="32" state="hidden" r:id="rId32"/>
    <sheet name="T_Tax_Computation" sheetId="33" state="hidden" r:id="rId33"/>
    <sheet name="Sheet1" sheetId="34" state="hidden" r:id="rId34"/>
  </sheets>
  <externalReferences>
    <externalReference r:id="rId35"/>
    <externalReference r:id="rId36"/>
    <externalReference r:id="rId37"/>
    <externalReference r:id="rId38"/>
  </externalReferences>
  <definedNames>
    <definedName name="AccountingPeriodEnd">[1]Data!$D$87:$D$98</definedName>
    <definedName name="AgrLandDed.ExpIncTOS">E1_IDA_CA!$C$29</definedName>
    <definedName name="AgrLandDed.ExpIncTOW">E1_IDA_CA!$C$35</definedName>
    <definedName name="AgrLandDed.ExpIncurredList">[1]E1_IDA_CA!$C$19</definedName>
    <definedName name="AgrLandDed.List">[1]E1_IDA_CA!$A$17:$G$18</definedName>
    <definedName name="AgrLandDed.ListDed">[1]E1_IDA_CA!$F$19</definedName>
    <definedName name="AgrLandDed.ListDedS">E1_IDA_CA!$F$29</definedName>
    <definedName name="AgrLandDed.ListDedW">E1_IDA_CA!$F$35</definedName>
    <definedName name="AgrLandDed.ListS">E1_IDA_CA!$A$27:$H$28</definedName>
    <definedName name="AgrLandDed.ListW">E1_IDA_CA!$A$33:$H$34</definedName>
    <definedName name="AgrLandDed.SalesTransferTO">[1]E1_IDA_CA!$E$19</definedName>
    <definedName name="AgrLandDed.SalesTransferTOS">E1_IDA_CA!$E$29</definedName>
    <definedName name="AgrLandDed.SalesTransferTOW">E1_IDA_CA!$E$35</definedName>
    <definedName name="AgrLandDed.WdvAtTheEndTO">[1]E1_IDA_CA!$G$19</definedName>
    <definedName name="AgrLandDed.WdvAtTheEndTOS">E1_IDA_CA!$G$29</definedName>
    <definedName name="AgrLandDed.WdvAtTheEndTOW">E1_IDA_CA!$G$35</definedName>
    <definedName name="AgrLandDed.WdvTO">[1]E1_IDA_CA!$D$19</definedName>
    <definedName name="AgrLandDed.WdvTOS">E1_IDA_CA!$D$29</definedName>
    <definedName name="AgrLandDed.WdvTOW">E1_IDA_CA!$D$35</definedName>
    <definedName name="audit.DateOfAuditCertiS">A_Basic_Info!$B$32</definedName>
    <definedName name="audit.DateOfAuditCertiW">A_Basic_Info!$C$32</definedName>
    <definedName name="audit.NameOfAuditorS">A_Basic_Info!$B$31</definedName>
    <definedName name="audit.NameOfAuditorW">A_Basic_Info!$C$31</definedName>
    <definedName name="audit.PINOfAuditorS">A_Basic_Info!$B$30</definedName>
    <definedName name="audit.PINOfAuditorW">A_Basic_Info!$C$30</definedName>
    <definedName name="BalSt.AccredInterest">[1]C_Balance_Sheet!$C$53</definedName>
    <definedName name="BalSt.AccredInterestS">C_Balance_Sheet!$C$51</definedName>
    <definedName name="BalSt.AccredInterestW">C_Balance_Sheet!$D$51</definedName>
    <definedName name="BalSt.AccumulatedDeprecn">[1]C_Balance_Sheet!$C$11</definedName>
    <definedName name="BalSt.AccumulatedDeprecnS">C_Balance_Sheet!$C$11</definedName>
    <definedName name="BalSt.AccumulatedDeprecnW">C_Balance_Sheet!$D$11</definedName>
    <definedName name="BalSt.AnyOthrRsv">[1]C_Balance_Sheet!$C$72</definedName>
    <definedName name="BalSt.AnyOthrRsvS">C_Balance_Sheet!$C$67</definedName>
    <definedName name="BalSt.AnyOthrRsvW">C_Balance_Sheet!$D$67</definedName>
    <definedName name="BalSt.BankBal">[1]C_Balance_Sheet!$C$34</definedName>
    <definedName name="BalSt.BankBalS">C_Balance_Sheet!$C$34</definedName>
    <definedName name="BalSt.BankBalW">C_Balance_Sheet!$D$34</definedName>
    <definedName name="BalSt.BankOverDrft">[1]C_Balance_Sheet!$C$54</definedName>
    <definedName name="BalSt.BankOverDrftS">C_Balance_Sheet!$C$52</definedName>
    <definedName name="BalSt.BankOverDrftW">C_Balance_Sheet!$D$52</definedName>
    <definedName name="BalSt.CashHndEqupmn">[1]C_Balance_Sheet!$C$35</definedName>
    <definedName name="BalSt.CashHndEqupmnS">C_Balance_Sheet!$C$35</definedName>
    <definedName name="BalSt.CashHndEqupmnW">C_Balance_Sheet!$D$35</definedName>
    <definedName name="BalSt.DbtSecurIssued">[1]C_Balance_Sheet!$C$82</definedName>
    <definedName name="BalSt.DbtSecurIssuedS">C_Balance_Sheet!$C$74</definedName>
    <definedName name="BalSt.DbtSecurIssuedW">C_Balance_Sheet!$D$74</definedName>
    <definedName name="BalSt.Debentured">[1]C_Balance_Sheet!$C$15</definedName>
    <definedName name="BalSt.DebenturedS">C_Balance_Sheet!$C$15</definedName>
    <definedName name="BalSt.DebenturedW">C_Balance_Sheet!$D$15</definedName>
    <definedName name="BalSt.DeferredTxAst">[1]C_Balance_Sheet!$C$47</definedName>
    <definedName name="BalSt.DeferredTxAstS">C_Balance_Sheet!$C$45</definedName>
    <definedName name="BalSt.DeferredTxAstW">C_Balance_Sheet!$D$45</definedName>
    <definedName name="BalSt.DeferredTxLiabty">[1]C_Balance_Sheet!$C$91</definedName>
    <definedName name="BalSt.DeferredTxLiabtyS">C_Balance_Sheet!$C$83</definedName>
    <definedName name="BalSt.DeferredTxLiabtyW">C_Balance_Sheet!$D$83</definedName>
    <definedName name="BalSt.Deposit">[1]C_Balance_Sheet!$C$44</definedName>
    <definedName name="BalSt.DepositS">C_Balance_Sheet!$C$42</definedName>
    <definedName name="BalSt.DepositW">C_Balance_Sheet!$D$42</definedName>
    <definedName name="BalSt.DividendPybl">[1]C_Balance_Sheet!$C$55</definedName>
    <definedName name="BalSt.DueRltdParty">[1]C_Balance_Sheet!$C$79</definedName>
    <definedName name="BalSt.DueRltdPartyS">C_Balance_Sheet!$C$75</definedName>
    <definedName name="BalSt.DueRltdPartyW">C_Balance_Sheet!$D$75</definedName>
    <definedName name="BalSt.FixDepost">[1]C_Balance_Sheet!$C$16</definedName>
    <definedName name="BalSt.FixDepostS">C_Balance_Sheet!$C$16</definedName>
    <definedName name="BalSt.FixDepostW">C_Balance_Sheet!$D$16</definedName>
    <definedName name="BalSt.FnsTrdGood">[1]C_Balance_Sheet!$C$26</definedName>
    <definedName name="BalSt.FnsTrdGoodS">C_Balance_Sheet!$C$26</definedName>
    <definedName name="BalSt.FnsTrdGoodW">C_Balance_Sheet!$D$26</definedName>
    <definedName name="BalSt.FrnLoanUnRltPrty">[1]C_Balance_Sheet!$C$41</definedName>
    <definedName name="BalSt.FurnitureFix">[1]C_Balance_Sheet!$C$8</definedName>
    <definedName name="BalSt.FurnitureFixS">C_Balance_Sheet!$C$8</definedName>
    <definedName name="BalSt.FurnitureFixW">C_Balance_Sheet!$D$8</definedName>
    <definedName name="BalSt.GnrlRsv">[1]C_Balance_Sheet!$C$71</definedName>
    <definedName name="BalSt.GnrlRsvS">C_Balance_Sheet!$C$66</definedName>
    <definedName name="BalSt.GnrlRsvW">C_Balance_Sheet!$D$66</definedName>
    <definedName name="BalSt.GovtSec">[1]C_Balance_Sheet!$C$17</definedName>
    <definedName name="BalSt.GovtSecS">C_Balance_Sheet!$C$17</definedName>
    <definedName name="BalSt.GovtSecW">C_Balance_Sheet!$D$17</definedName>
    <definedName name="BalSt.IntangibleAst">[1]C_Balance_Sheet!$C$10</definedName>
    <definedName name="BalSt.IntangibleAstS">C_Balance_Sheet!$C$10</definedName>
    <definedName name="BalSt.IntangibleAstW">C_Balance_Sheet!$D$10</definedName>
    <definedName name="BalSt.LandBuilding">[1]C_Balance_Sheet!$C$5</definedName>
    <definedName name="BalSt.LandBuildingS">C_Balance_Sheet!$C$5</definedName>
    <definedName name="BalSt.LandBuildingW">C_Balance_Sheet!$D$5</definedName>
    <definedName name="BalSt.LiabtyLeasAst">[1]C_Balance_Sheet!$C$52</definedName>
    <definedName name="BalSt.LiabtyLeasAstS">C_Balance_Sheet!$C$50</definedName>
    <definedName name="BalSt.LiabtyLeasAstW">C_Balance_Sheet!$D$50</definedName>
    <definedName name="BalSt.LoanAdvnceOthr">[1]C_Balance_Sheet!$C$45</definedName>
    <definedName name="BalSt.LoanAdvnceOthrS">C_Balance_Sheet!$C$43</definedName>
    <definedName name="BalSt.LoanAdvnceOthrW">C_Balance_Sheet!$D$43</definedName>
    <definedName name="BalSt.LoanAdvncStff">[1]C_Balance_Sheet!$C$43</definedName>
    <definedName name="BalSt.LoanAdvncStffS">C_Balance_Sheet!$C$41</definedName>
    <definedName name="BalSt.LoanAdvncStffW">C_Balance_Sheet!$D$41</definedName>
    <definedName name="BalSt.LoanFinancialInst">[1]C_Balance_Sheet!$C$78</definedName>
    <definedName name="BalSt.LoanFinancialInstS">C_Balance_Sheet!$C$72</definedName>
    <definedName name="BalSt.LoanFinancialInstW">C_Balance_Sheet!$D$72</definedName>
    <definedName name="BalSt.LoanRltPrty">[1]C_Balance_Sheet!$C$40</definedName>
    <definedName name="BalSt.LoanRltPrtyS">C_Balance_Sheet!$C$40</definedName>
    <definedName name="BalSt.LoanRltPrtyW">C_Balance_Sheet!$D$40</definedName>
    <definedName name="BalSt.LocalLoan">[1]C_Balance_Sheet!$C$42</definedName>
    <definedName name="BalSt.LocalLoanSec">[1]C_Balance_Sheet!$C$80</definedName>
    <definedName name="BalSt.LocalLoanUnSec">[1]C_Balance_Sheet!$C$87</definedName>
    <definedName name="BalSt.MtrVehicle">[1]C_Balance_Sheet!$C$7</definedName>
    <definedName name="BalSt.MtrVehicleS">C_Balance_Sheet!$C$7</definedName>
    <definedName name="BalSt.MtrVehicleW">C_Balance_Sheet!$D$7</definedName>
    <definedName name="BalSt.OtherAst">[1]C_Balance_Sheet!$C$9</definedName>
    <definedName name="BalSt.OtherAstS">C_Balance_Sheet!$C$9</definedName>
    <definedName name="BalSt.OtherAstW">C_Balance_Sheet!$D$9</definedName>
    <definedName name="BalSt.OtherCrntAst">[1]C_Balance_Sheet!$C$37</definedName>
    <definedName name="BalSt.OtherCrntAstS">C_Balance_Sheet!$C$37</definedName>
    <definedName name="BalSt.OtherCrntAstW">C_Balance_Sheet!$D$37</definedName>
    <definedName name="BalSt.OtherCrntLiabty">[1]C_Balance_Sheet!$C$56</definedName>
    <definedName name="BalSt.OtherCrntLiabtyS">C_Balance_Sheet!$C$53</definedName>
    <definedName name="BalSt.OtherCrntLiabtyW">C_Balance_Sheet!$D$53</definedName>
    <definedName name="BalSt.OtherInvstmnt">[1]C_Balance_Sheet!$C$18</definedName>
    <definedName name="BalSt.OtherInvstmntS">C_Balance_Sheet!$C$18</definedName>
    <definedName name="BalSt.OtherInvstmntW">C_Balance_Sheet!$D$18</definedName>
    <definedName name="BalSt.OtherPrvsns">[1]C_Balance_Sheet!$C$61</definedName>
    <definedName name="BalSt.OtherPrvsnsS">C_Balance_Sheet!$C$58</definedName>
    <definedName name="BalSt.OtherPrvsnsW">C_Balance_Sheet!$D$58</definedName>
    <definedName name="BalSt.OtherRcvblDebtors">[1]C_Balance_Sheet!$C$31</definedName>
    <definedName name="BalSt.OtherRcvblDebtorsS">C_Balance_Sheet!$C$31</definedName>
    <definedName name="BalSt.OtherRcvblDebtorsW">C_Balance_Sheet!$D$31</definedName>
    <definedName name="BalSt.OthrLoan">[1]C_Balance_Sheet!$C$81</definedName>
    <definedName name="BalSt.OthrLoanS">C_Balance_Sheet!$C$73</definedName>
    <definedName name="BalSt.OthrLoanW">C_Balance_Sheet!$D$73</definedName>
    <definedName name="BalSt.PlantMachinery">[1]C_Balance_Sheet!$C$6</definedName>
    <definedName name="BalSt.PlantMachineryS">C_Balance_Sheet!$C$6</definedName>
    <definedName name="BalSt.PlantMachineryW">C_Balance_Sheet!$D$6</definedName>
    <definedName name="BalSt.PrePaymnt">[1]C_Balance_Sheet!$C$30</definedName>
    <definedName name="BalSt.PrePaymntS">C_Balance_Sheet!$C$30</definedName>
    <definedName name="BalSt.PrePaymntW">C_Balance_Sheet!$D$30</definedName>
    <definedName name="BalSt.ProfitYearS">C_Balance_Sheet!$C$68</definedName>
    <definedName name="BalSt.ProfitYearW">C_Balance_Sheet!$D$68</definedName>
    <definedName name="BalSt.ProperietorCptl">[1]C_Balance_Sheet!$C$67</definedName>
    <definedName name="BalSt.ProperietorCptlS">C_Balance_Sheet!$C$63</definedName>
    <definedName name="BalSt.ProperietorCptlW">C_Balance_Sheet!$D$63</definedName>
    <definedName name="BalSt.ProprietorFundLngTrmLaibty">[1]C_Balance_Sheet!$C$93</definedName>
    <definedName name="BalSt.ProprietorFundLngTrmLaibtyS">C_Balance_Sheet!$C$85</definedName>
    <definedName name="BalSt.ProprietorFundLngTrmLaibtyW">C_Balance_Sheet!$D$85</definedName>
    <definedName name="BalSt.PrvsnsBadDbt">[1]C_Balance_Sheet!$C$60</definedName>
    <definedName name="BalSt.PrvsnsBadDbtS">C_Balance_Sheet!$C$57</definedName>
    <definedName name="BalSt.PrvsnsBadDbtW">C_Balance_Sheet!$D$57</definedName>
    <definedName name="BalSt.PrvsnsIncomeTx">[1]C_Balance_Sheet!$C$59</definedName>
    <definedName name="BalSt.PrvsnsIncomeTxS">C_Balance_Sheet!$C$56</definedName>
    <definedName name="BalSt.PrvsnsIncomeTxW">C_Balance_Sheet!$D$56</definedName>
    <definedName name="BalSt.RetainedEarnings">[1]C_Balance_Sheet!$C$73</definedName>
    <definedName name="BalSt.RevalustionRsv">[1]C_Balance_Sheet!$C$69</definedName>
    <definedName name="BalSt.RevalustionRsvS">C_Balance_Sheet!$C$64</definedName>
    <definedName name="BalSt.RevalustionRsvW">C_Balance_Sheet!$D$64</definedName>
    <definedName name="BalSt.RwMaterial">[1]C_Balance_Sheet!$C$24</definedName>
    <definedName name="BalSt.RwMaterialS">C_Balance_Sheet!$C$24</definedName>
    <definedName name="BalSt.RwMaterialW">C_Balance_Sheet!$D$24</definedName>
    <definedName name="BalSt.sharePremium">[1]C_Balance_Sheet!$C$68</definedName>
    <definedName name="BalSt.Shares">[1]C_Balance_Sheet!$C$14</definedName>
    <definedName name="BalSt.SharesS">C_Balance_Sheet!$C$14</definedName>
    <definedName name="BalSt.SharesW">C_Balance_Sheet!$D$14</definedName>
    <definedName name="BalSt.StrConsblePckMtrl">[1]C_Balance_Sheet!$C$23</definedName>
    <definedName name="BalSt.StrConsblePckMtrlS">C_Balance_Sheet!$C$23</definedName>
    <definedName name="BalSt.StrConsblePckMtrlW">C_Balance_Sheet!$D$23</definedName>
    <definedName name="BalSt.TnsltnRsv">[1]C_Balance_Sheet!$C$70</definedName>
    <definedName name="BalSt.TnsltnRsvS">C_Balance_Sheet!$C$65</definedName>
    <definedName name="BalSt.TnsltnRsvW">C_Balance_Sheet!$D$65</definedName>
    <definedName name="BalSt.TotalASt">[1]C_Balance_Sheet!$C$63</definedName>
    <definedName name="BalSt.TotalAStS">C_Balance_Sheet!$C$60</definedName>
    <definedName name="BalSt.TotalAStW">C_Balance_Sheet!$D$60</definedName>
    <definedName name="BalSt.TotalBalAvlbl">[1]C_Balance_Sheet!$C$33</definedName>
    <definedName name="BalSt.TotalBalAvlblS">C_Balance_Sheet!$C$33</definedName>
    <definedName name="BalSt.TotalBalAvlblW">C_Balance_Sheet!$D$33</definedName>
    <definedName name="BalSt.TotalCrntAst">[1]C_Balance_Sheet!$C$21</definedName>
    <definedName name="BalSt.TotalCrntAstLnAdv">[1]C_Balance_Sheet!$C$20</definedName>
    <definedName name="BalSt.TotalCrntAstLoanAdvncS">C_Balance_Sheet!$C$20</definedName>
    <definedName name="BalSt.TotalCrntAstLoanAdvncW">C_Balance_Sheet!$D$20</definedName>
    <definedName name="BalSt.TotalCrntAstS">C_Balance_Sheet!$C$21</definedName>
    <definedName name="BalSt.TotalCrntAstW">C_Balance_Sheet!$D$21</definedName>
    <definedName name="BalSt.TotalCrntLiabty">[1]C_Balance_Sheet!$C$50</definedName>
    <definedName name="BalSt.TotalCrntLiabtyPrvsns">[1]C_Balance_Sheet!$C$49</definedName>
    <definedName name="BalSt.TotalCrntLiabtyPrvsnsS">C_Balance_Sheet!$C$47</definedName>
    <definedName name="BalSt.TotalCrntLiabtyPrvsnsW">C_Balance_Sheet!$D$47</definedName>
    <definedName name="BalSt.TotalCrntLiabtyS">C_Balance_Sheet!$C$48</definedName>
    <definedName name="BalSt.TotalCrntLiabtyW">C_Balance_Sheet!$D$48</definedName>
    <definedName name="BalSt.TotalFixAst">[1]C_Balance_Sheet!$C$4</definedName>
    <definedName name="BalSt.TotalFixAstS">C_Balance_Sheet!$C$4</definedName>
    <definedName name="BalSt.TotalFixAstW">C_Balance_Sheet!$D$4</definedName>
    <definedName name="BalSt.TotalInventory">[1]C_Balance_Sheet!$C$22</definedName>
    <definedName name="BalSt.TotalInventoryS">C_Balance_Sheet!$C$22</definedName>
    <definedName name="BalSt.TotalInventoryW">C_Balance_Sheet!$D$22</definedName>
    <definedName name="BalSt.TotalInvstmnt">[1]C_Balance_Sheet!$C$13</definedName>
    <definedName name="BalSt.TotalInvstmntS">C_Balance_Sheet!$C$13</definedName>
    <definedName name="BalSt.TotalInvstmntW">C_Balance_Sheet!$D$13</definedName>
    <definedName name="BalSt.TotalLiabilitues">[4]C_Balance_Sheet!$C$85</definedName>
    <definedName name="BalSt.TotalLoanAdvnce">[1]C_Balance_Sheet!$C$39</definedName>
    <definedName name="BalSt.TotalLoanAdvnceS">C_Balance_Sheet!$C$39</definedName>
    <definedName name="BalSt.TotalLoanAdvnceW">C_Balance_Sheet!$D$39</definedName>
    <definedName name="BalSt.TotalLoanFund">[1]C_Balance_Sheet!$C$76</definedName>
    <definedName name="BalSt.TotalLoanFundS">C_Balance_Sheet!$C$70</definedName>
    <definedName name="BalSt.TotalLoanFundW">C_Balance_Sheet!$D$70</definedName>
    <definedName name="BalSt.TotalProprietorCptlRsv">[1]C_Balance_Sheet!$C$66</definedName>
    <definedName name="BalSt.TotalProprietorCptlRsvS">C_Balance_Sheet!$C$62</definedName>
    <definedName name="BalSt.TotalProprietorCptlRsvW">C_Balance_Sheet!$D$62</definedName>
    <definedName name="BalSt.TotalPrvsns">[1]C_Balance_Sheet!$C$58</definedName>
    <definedName name="BalSt.TotalPrvsnsS">C_Balance_Sheet!$C$55</definedName>
    <definedName name="BalSt.TotalPrvsnsW">C_Balance_Sheet!$D$55</definedName>
    <definedName name="BalSt.TotalRcvblDebtors">[1]C_Balance_Sheet!$C$28</definedName>
    <definedName name="BalSt.TotalRcvblDebtorsS">C_Balance_Sheet!$C$28</definedName>
    <definedName name="BalSt.TotalRcvblDebtorsW">C_Balance_Sheet!$D$28</definedName>
    <definedName name="BalSt.TotalSecurdLaibty">[1]C_Balance_Sheet!$C$77</definedName>
    <definedName name="BalSt.TotalSecurdLaibtyS">C_Balance_Sheet!$C$71</definedName>
    <definedName name="BalSt.TotalSecurdLaibtyW">C_Balance_Sheet!$D$71</definedName>
    <definedName name="BalSt.TotalUnsecureLaibty">[1]C_Balance_Sheet!$C$84</definedName>
    <definedName name="BalSt.TotalUnsecureLaibtyS">C_Balance_Sheet!$C$77</definedName>
    <definedName name="BalSt.TotalUnsecureLaibtyW">C_Balance_Sheet!$D$77</definedName>
    <definedName name="BalSt.TradePayblCrdt">[1]C_Balance_Sheet!$C$51</definedName>
    <definedName name="BalSt.TradePayblCrdtS">C_Balance_Sheet!$C$49</definedName>
    <definedName name="BalSt.TradePayblCrdtW">C_Balance_Sheet!$D$49</definedName>
    <definedName name="BalSt.TrdRcvDebtros">[1]C_Balance_Sheet!$C$29</definedName>
    <definedName name="BalSt.TrdRcvDebtrosS">C_Balance_Sheet!$C$29</definedName>
    <definedName name="BalSt.TrdRcvDebtrosW">C_Balance_Sheet!$D$29</definedName>
    <definedName name="BalSt.UnsecuredDueRltdParty">[1]C_Balance_Sheet!$C$86</definedName>
    <definedName name="BalSt.UnsecuredDueRltdPartyS">C_Balance_Sheet!$C$81</definedName>
    <definedName name="BalSt.UnsecuredDueRltdPartyW">C_Balance_Sheet!$D$81</definedName>
    <definedName name="BalSt.UnsecuredLoanFinancialInst">[1]C_Balance_Sheet!$C$85</definedName>
    <definedName name="BalSt.UnsecuredLoanFinancialInstS">C_Balance_Sheet!$C$78</definedName>
    <definedName name="BalSt.UnsecuredLoanFinancialInstW">C_Balance_Sheet!$D$78</definedName>
    <definedName name="BalSt.UnsecuredOtherLoan">[1]C_Balance_Sheet!$C$88</definedName>
    <definedName name="BalSt.UnsecuredOtherLoanS">C_Balance_Sheet!$C$79</definedName>
    <definedName name="BalSt.UnsecuredOtherLoanW">C_Balance_Sheet!$D$79</definedName>
    <definedName name="BalSt.UnsecuredPayblCrdtThnOne">[1]C_Balance_Sheet!$C$89</definedName>
    <definedName name="BalSt.UnsecuredPayblCrdtThnOneS">C_Balance_Sheet!$C$80</definedName>
    <definedName name="BalSt.UnsecuredPayblCrdtThnOneW">C_Balance_Sheet!$D$80</definedName>
    <definedName name="BalSt.WorkInProgs">[1]C_Balance_Sheet!$C$25</definedName>
    <definedName name="BalSt.WorkInProgsS">C_Balance_Sheet!$C$25</definedName>
    <definedName name="BalSt.WorkInProgsW">C_Balance_Sheet!$D$25</definedName>
    <definedName name="Bank1">Data!$E$1759:$E$1768</definedName>
    <definedName name="Bank10">Data!$E$1371:$E$1391</definedName>
    <definedName name="Bank11">Data!$E$1661:$E$1678</definedName>
    <definedName name="Bank12">Data!$E$1419:$E$1547</definedName>
    <definedName name="Bank13">Data!$E$1679:$E$1687</definedName>
    <definedName name="Bank14">Data!$E$1923:$E$1924</definedName>
    <definedName name="Bank15">Data!$E$1936:$E$1988</definedName>
    <definedName name="Bank16">Data!$E$1657:$E$1660</definedName>
    <definedName name="Bank17">Data!$E$1824:$E$1850</definedName>
    <definedName name="Bank18">Data!$E$1851:$E$1864</definedName>
    <definedName name="Bank19">Data!$E$2026:$E$2187</definedName>
    <definedName name="Bank2">Data!$E$1627:$E$1656</definedName>
    <definedName name="Bank20">Data!$E$2188:$E$2262</definedName>
    <definedName name="Bank21">Data!$E$1925:$E$1935</definedName>
    <definedName name="Bank22">Data!$E$1870:$E$1884</definedName>
    <definedName name="Bank23">Data!$E$2280:$E$2297</definedName>
    <definedName name="Bank24">Data!$E$1817:$E$1823</definedName>
    <definedName name="Bank25">Data!$E$1887:$E$1895</definedName>
    <definedName name="Bank26">Data!$E$2263:$E$2279</definedName>
    <definedName name="Bank27">Data!$E$1618:$E$1621</definedName>
    <definedName name="Bank28">Data!$E$1392:$E$1396</definedName>
    <definedName name="Bank29">Data!$E$2302:$E$2313</definedName>
    <definedName name="Bank3">Data!$E$1361:$E$1370</definedName>
    <definedName name="Bank30">Data!$E$1769:$E$1791</definedName>
    <definedName name="Bank31">Data!$E$1896:$E$1922</definedName>
    <definedName name="Bank32">Data!$E$2314:$E$2328</definedName>
    <definedName name="Bank33">Data!$E$1023:$E$1198</definedName>
    <definedName name="Bank34">Data!$E$2329:$E$2426</definedName>
    <definedName name="Bank35">Data!$E$1989:$E$2025</definedName>
    <definedName name="Bank36">Data!$E$1622:$E$1626</definedName>
    <definedName name="Bank37">Data!$E$2427:$E$2432</definedName>
    <definedName name="Bank38">Data!$E$1548:$E$1605</definedName>
    <definedName name="Bank39">Data!$E$1792:$E$1816</definedName>
    <definedName name="Bank4">Data!$E$1357:$E$1360</definedName>
    <definedName name="Bank40">Data!$E$1606:$E$1613</definedName>
    <definedName name="Bank41">Data!$E$1865:$E$1869</definedName>
    <definedName name="Bank42">Data!$E$1402:$E$1418</definedName>
    <definedName name="Bank43">Data!$E$1199:$E$1237</definedName>
    <definedName name="Bank44">Data!$E$1688:$E$1703</definedName>
    <definedName name="Bank45">Data!$E$2298:$E$2301</definedName>
    <definedName name="Bank46">Data!$E$1885:$E$1886</definedName>
    <definedName name="Bank5">Data!$E$1238:$E$1356</definedName>
    <definedName name="Bank6">Data!$E$1397:$E$1401</definedName>
    <definedName name="Bank7">Data!$E$1734:$E$1758</definedName>
    <definedName name="Bank8">Data!$E$1704:$E$1733</definedName>
    <definedName name="Bank9">Data!$E$1614:$E$1617</definedName>
    <definedName name="BankBranchName">[1]A_Basic_Info!$B$27</definedName>
    <definedName name="BankBranchRangeNames">Data!$AT$2:$AT$54</definedName>
    <definedName name="BankDtl.AccName">[1]A_Basic_Info!$B$29</definedName>
    <definedName name="BankDtl.AccNameS">A_Basic_Info!$B$26</definedName>
    <definedName name="BankDtl.AccNameW">A_Basic_Info!$C$26</definedName>
    <definedName name="BankDtl.AccNumber">[1]A_Basic_Info!$B$30</definedName>
    <definedName name="BankDtl.AccNumberS">A_Basic_Info!$B$27</definedName>
    <definedName name="BankDtl.AccNumberW">A_Basic_Info!$C$27</definedName>
    <definedName name="BankDtl.BankName">[1]A_Basic_Info!$C$26</definedName>
    <definedName name="BankDtl.BankNameS">A_Basic_Info!$D$23</definedName>
    <definedName name="BankDtl.BankNameW">A_Basic_Info!$E$23</definedName>
    <definedName name="BankDtl.BranchName">[1]A_Basic_Info!$C$27</definedName>
    <definedName name="BankDtl.BranchNameS">A_Basic_Info!$D$24</definedName>
    <definedName name="BankDtl.BranchNameW">A_Basic_Info!$E$24</definedName>
    <definedName name="BankDtl.City">[1]A_Basic_Info!$B$28</definedName>
    <definedName name="BankDtl.CityS">A_Basic_Info!$B$25</definedName>
    <definedName name="BankDtl.CityW">A_Basic_Info!$C$25</definedName>
    <definedName name="BankId">Data!$A$1022:$A$1067</definedName>
    <definedName name="BankName">[1]A_Basic_Info!$B$26</definedName>
    <definedName name="BankNames">Data!$B$1022:$B$1067</definedName>
    <definedName name="BankS">A_Basic_Info!$B$23</definedName>
    <definedName name="BankW">A_Basic_Info!$C$23</definedName>
    <definedName name="blank">Data!$AV$569</definedName>
    <definedName name="BodyTypes">Data!$E$14:$E$16</definedName>
    <definedName name="Boolean">Data!$F$19:$F$20</definedName>
    <definedName name="Branch1">Data!$D$1759:$D$1768</definedName>
    <definedName name="Branch10">Data!$D$1371:$D$1391</definedName>
    <definedName name="Branch11">Data!$D$1661:$D$1678</definedName>
    <definedName name="Branch12">Data!$D$1419:$D$1547</definedName>
    <definedName name="Branch13">Data!$D$1679:$D$1687</definedName>
    <definedName name="Branch14">Data!$D$1923:$D$1924</definedName>
    <definedName name="Branch15">Data!$D$1936:$D$1988</definedName>
    <definedName name="Branch16">Data!$D$1657:$D$1660</definedName>
    <definedName name="Branch17">Data!$D$1824:$D$1850</definedName>
    <definedName name="Branch18">Data!$D$1851:$D$1864</definedName>
    <definedName name="Branch19">Data!$D$2026:$D$2187</definedName>
    <definedName name="Branch2">Data!$D$1627:$D$1656</definedName>
    <definedName name="Branch20">Data!$D$2188:$D$2262</definedName>
    <definedName name="Branch21">Data!$D$1925:$D$1935</definedName>
    <definedName name="Branch22">Data!$D$1870:$D$1884</definedName>
    <definedName name="Branch23">Data!$D$2280:$D$2297</definedName>
    <definedName name="Branch24">Data!$D$1817:$D$1823</definedName>
    <definedName name="Branch25">Data!$D$1887:$D$1895</definedName>
    <definedName name="Branch26">Data!$D$2263:$D$2279</definedName>
    <definedName name="Branch27">Data!$D$1618:$D$1621</definedName>
    <definedName name="Branch28">Data!$D$1392:$D$1396</definedName>
    <definedName name="Branch29">Data!$D$2302:$D$2313</definedName>
    <definedName name="Branch3">Data!$D$1361:$D$1370</definedName>
    <definedName name="Branch30">Data!$D$1769:$D$1791</definedName>
    <definedName name="Branch31">Data!$D$1896:$D$1922</definedName>
    <definedName name="Branch32">Data!$D$2314:$D$2328</definedName>
    <definedName name="Branch33">Data!$D$1023:$D$1198</definedName>
    <definedName name="Branch34">Data!$D$2329:$D$2426</definedName>
    <definedName name="Branch35">Data!$D$1989:$D$2025</definedName>
    <definedName name="Branch36">Data!$D$1622:$D$1626</definedName>
    <definedName name="Branch37">Data!$D$2427:$D$2432</definedName>
    <definedName name="Branch38">Data!$D$1548:$D$1605</definedName>
    <definedName name="Branch39">Data!$D$1792:$D$1816</definedName>
    <definedName name="Branch4">Data!$D$1357:$D$1360</definedName>
    <definedName name="Branch40">Data!$D$1606:$D$1613</definedName>
    <definedName name="Branch41">Data!$D$1865:$D$1869</definedName>
    <definedName name="Branch42">Data!$D$1402:$D$1418</definedName>
    <definedName name="Branch43">Data!$D$1199:$D$1237</definedName>
    <definedName name="Branch44">Data!$D$1688:$D$1703</definedName>
    <definedName name="Branch45">Data!$D$2298:$D$2301</definedName>
    <definedName name="Branch46">Data!$D$1885:$D$1886</definedName>
    <definedName name="Branch5">Data!$D$1238:$D$1356</definedName>
    <definedName name="Branch6">Data!$D$1397:$D$1401</definedName>
    <definedName name="Branch7">Data!$D$1734:$D$1758</definedName>
    <definedName name="Branch8">Data!$D$1704:$D$1733</definedName>
    <definedName name="Branch9">Data!$D$1614:$D$1617</definedName>
    <definedName name="BranchId">Data!$D$1023:$D$2432</definedName>
    <definedName name="BranchIdMap">Data!$F$1023:$F$2432</definedName>
    <definedName name="BranchName">Data!$E$1023:$E$2432</definedName>
    <definedName name="BranchS">A_Basic_Info!$B$24</definedName>
    <definedName name="BranchW">A_Basic_Info!$C$24</definedName>
    <definedName name="BuildCatList">Data!$F$88:$F$93</definedName>
    <definedName name="BuildCatList20">Data!$F$77:$F$83</definedName>
    <definedName name="CA.ListDedS">E_Summary_of_Capital_Allowance!$C$8</definedName>
    <definedName name="CA.ListDedW">E_Summary_of_Capital_Allowance!$D$8</definedName>
    <definedName name="CA.ListDepreS">E_Summary_of_Capital_Allowance!$C$9</definedName>
    <definedName name="CA.ListDepreW">E_Summary_of_Capital_Allowance!$D$9</definedName>
    <definedName name="CA.ListPart1IniAllS">E_Summary_of_Capital_Allowance!$C$3</definedName>
    <definedName name="CA.ListPart1IniAllW">E_Summary_of_Capital_Allowance!$D$3</definedName>
    <definedName name="CA.ListPart2IBDTOS">E_Summary_of_Capital_Allowance!$C$5</definedName>
    <definedName name="CA.ListPart2IBDTOW">E_Summary_of_Capital_Allowance!$D$5</definedName>
    <definedName name="CA.ListPart2IniAllS">E_Summary_of_Capital_Allowance!$C$4</definedName>
    <definedName name="CA.ListPart2IniAllW">E_Summary_of_Capital_Allowance!$D$4</definedName>
    <definedName name="CA.TotalWATListBS">E_Summary_of_Capital_Allowance!$C$7</definedName>
    <definedName name="CA.TotalWATListBW">E_Summary_of_Capital_Allowance!$D$7</definedName>
    <definedName name="CA.TotalWATS">E_Summary_of_Capital_Allowance!$C$6</definedName>
    <definedName name="CA.TotalWATW">E_Summary_of_Capital_Allowance!$D$6</definedName>
    <definedName name="CapAll.TotalAllAllowancesS">E_Summary_of_Capital_Allowance!$C$10</definedName>
    <definedName name="CapAll.TotalAllAllowancesW">E_Summary_of_Capital_Allowance!$D$10</definedName>
    <definedName name="CarBenefit.ListS">I_Computation_of_Car_Benefit!$A$3:$M$4</definedName>
    <definedName name="CarBenefit.ListSTO">I_Computation_of_Car_Benefit!$J$5</definedName>
    <definedName name="CarBenefit.ListW">I_Computation_of_Car_Benefit!$A$11:$M$12</definedName>
    <definedName name="CarBenefit.ListWTO">I_Computation_of_Car_Benefit!$J$13</definedName>
    <definedName name="CarType">Data!$C$19:$C$20</definedName>
    <definedName name="CompnsDividTxAct.AllwdCrntYrDividedRcv">[1]K_Tax_Computation!$C$66</definedName>
    <definedName name="CompnsDividTxAct.AllwdDividedRcv">[1]K_Tax_Computation!$C$63</definedName>
    <definedName name="CompnsDividTxAct.CompnsTxDue">[1]K_Tax_Computation!$C$67</definedName>
    <definedName name="CompnsDividTxAct.CrntYearCorpoTax">[1]K_Tax_Computation!$C$61</definedName>
    <definedName name="CompnsDividTxAct.CrntYearDividedPaid">[1]K_Tax_Computation!$C$65</definedName>
    <definedName name="CompnsDividTxAct.CrntYearRfdClaimed">[1]K_Tax_Computation!$C$64</definedName>
    <definedName name="CompnsDividTxAct.DividedReceived">[1]K_Tax_Computation!$C$62</definedName>
    <definedName name="CompnsDividTxAct.DTANewBal">[2]L_Tax_Computation!$C$68</definedName>
    <definedName name="CompnsDividTxAct.DTAOpnBal">[1]K_Tax_Computation!$C$60</definedName>
    <definedName name="CountryId">Data!$B$90:$B$285</definedName>
    <definedName name="CountryIdDTAA">Data!$B$290:$B$484</definedName>
    <definedName name="CountryName">Data!$A$90:$A$285</definedName>
    <definedName name="CountryNameDtaa">Data!$A$290:$A$484</definedName>
    <definedName name="county">Data!$N$80</definedName>
    <definedName name="countyId">Data!$O$2:$O$48</definedName>
    <definedName name="CountyName">Data!$P$2:$P$48</definedName>
    <definedName name="CreditIncome.CrdtUndrSpclArrnngmnt">[1]K_Tax_Computation!$C$78</definedName>
    <definedName name="CreditIncome.TotalCredit">[1]K_Tax_Computation!$C$74</definedName>
    <definedName name="CreditIncome.TotalTaxCreditS">T_Tax_Computation!$C$21</definedName>
    <definedName name="CreditIncome.TotalTaxCreditW">T_Tax_Computation!$D$21</definedName>
    <definedName name="DeclareIncomeYN">Data!$G$24:$G$25</definedName>
    <definedName name="DeclareIncomeYNCode">Data!$H$24:$H$25</definedName>
    <definedName name="DedDtl.PensionS">T_Tax_Computation!$C$5</definedName>
    <definedName name="DedDtl.PensionW">T_Tax_Computation!$D$5</definedName>
    <definedName name="DedDtl.TotalDeductionS">T_Tax_Computation!$C$3</definedName>
    <definedName name="DedDtl.TotalDeductionSJanMar">T_Tax_Computation!$E$3</definedName>
    <definedName name="DedDtl.TotalDeductionW">T_Tax_Computation!$D$3</definedName>
    <definedName name="DedDtl.TotalDeductionWJanMar">T_Tax_Computation!$E$4</definedName>
    <definedName name="defaultZero">Data!$X$2</definedName>
    <definedName name="DeprIntengAst.Cost">[1]E1_IDA_CA!$H$26</definedName>
    <definedName name="DeprIntengAst.List">[1]E1_IDA_CA!$A$24:$J$25</definedName>
    <definedName name="DeprIntengAst.ListDepre">[1]E1_IDA_CA!$I$26</definedName>
    <definedName name="DeprIntengAst.ListDepreS">E1_IDA_CA!$I$41</definedName>
    <definedName name="DeprIntengAst.ListDepreW">E1_IDA_CA!$I$47</definedName>
    <definedName name="DeprIntengAst.ListS">E1_IDA_CA!$A$39:$L$40</definedName>
    <definedName name="DeprIntengAst.ListW">E1_IDA_CA!$A$45:$L$46</definedName>
    <definedName name="DeprIntengAst.WDVAtTheEndTOS">E1_IDA_CA!$J$41</definedName>
    <definedName name="DeprIntengAst.WDVAtTheEndTOW">E1_IDA_CA!$J$47</definedName>
    <definedName name="DeprIntengAst.WDVTOS">E1_IDA_CA!$F$41</definedName>
    <definedName name="DeprIntengAst.WDVTOW">E1_IDA_CA!$F$47</definedName>
    <definedName name="DetailsAuditor.AuditDate">[1]A_Basic_Info!$B$35</definedName>
    <definedName name="DetailsAuditor.Name">[1]A_Basic_Info!$B$34</definedName>
    <definedName name="DetailsAuditor.PIN">[1]A_Basic_Info!$B$33</definedName>
    <definedName name="dispSec.AdvanceTax">A_Basic_Info!$B$14</definedName>
    <definedName name="dispSec.CarBenefit">A_Basic_Info!$B$10</definedName>
    <definedName name="dispSec.DTAA">A_Basic_Info!$B$15</definedName>
    <definedName name="dispSec.EstateTrustIncome">A_Basic_Info!$B$9</definedName>
    <definedName name="dispSec.InsuRelief">A_Basic_Info!$B$13</definedName>
    <definedName name="dispSec.Mortgage">A_Basic_Info!$B$11</definedName>
    <definedName name="dispSec.OwnershipSaving">A_Basic_Info!$B$12</definedName>
    <definedName name="dispSec.PartnershipIncome">A_Basic_Info!$B$8</definedName>
    <definedName name="District1">Data!$AB$2:$AB$7</definedName>
    <definedName name="District10">Data!$AB$41:$AB$44</definedName>
    <definedName name="District11">Data!$AB$45:$AB$51</definedName>
    <definedName name="District12">Data!$AB$52:$AB$53</definedName>
    <definedName name="District13">Data!$AB$54:$AB$64</definedName>
    <definedName name="District14">Data!$AB$65:$AB$67</definedName>
    <definedName name="District15">Data!$AB$68:$AB$71</definedName>
    <definedName name="District16">Data!$AB$72:$AB$79</definedName>
    <definedName name="District17">Data!$AB$80:$AB$83</definedName>
    <definedName name="District18">Data!$AB$84:$AB$89</definedName>
    <definedName name="District19">Data!$AB$90:$AB$93</definedName>
    <definedName name="District2">Data!$AB$8:$AB$10</definedName>
    <definedName name="District20">Data!$AB$94:$AB$98</definedName>
    <definedName name="District21">Data!$AB$99</definedName>
    <definedName name="District22">Data!$AB$100:$AB$105</definedName>
    <definedName name="District23">Data!$AB$106:$AB$113</definedName>
    <definedName name="District24">Data!$AB$114:$AB$118</definedName>
    <definedName name="District25">Data!$AB$119:$AB$122</definedName>
    <definedName name="District26">Data!$AB$123:$AB$132</definedName>
    <definedName name="District27">Data!$AB$133:$AB$138</definedName>
    <definedName name="District28">Data!$AB$139:$AB$140</definedName>
    <definedName name="District29">Data!$AB$141:$AB$144</definedName>
    <definedName name="District3">Data!$AB$11:$AB$16</definedName>
    <definedName name="District30">Data!$AB$145:$AB$148</definedName>
    <definedName name="District31">Data!$AB$149:$AB$153</definedName>
    <definedName name="District32">Data!$AB$154:$AB$158</definedName>
    <definedName name="District33">Data!$AB$159:$AB$161</definedName>
    <definedName name="District34">Data!$AB$162:$AB$167</definedName>
    <definedName name="District35">Data!$AB$168:$AB$173</definedName>
    <definedName name="District36">Data!$AB$174:$AB$179</definedName>
    <definedName name="District37">Data!$AB$180:$AB$182</definedName>
    <definedName name="District38">Data!$AB$183:$AB$185</definedName>
    <definedName name="District39">Data!$AB$186:$AB$189</definedName>
    <definedName name="District4">Data!$AB$17:$AB$21</definedName>
    <definedName name="District40">Data!$AB$190:$AB$191</definedName>
    <definedName name="District41">Data!$AB$192:$AB$193</definedName>
    <definedName name="District42">Data!$AB$194:$AB$196</definedName>
    <definedName name="District43">Data!$AB$197:$AB$202</definedName>
    <definedName name="District44">Data!$AB$203:$AB$205</definedName>
    <definedName name="District45">Data!$AB$206:$AB$208</definedName>
    <definedName name="District46">Data!$AB$209:$AB$212</definedName>
    <definedName name="District47">Data!$AB$213:$AB$215</definedName>
    <definedName name="District5">Data!$AB$22:$AB$23</definedName>
    <definedName name="District6">Data!$AB$24:$AB$27</definedName>
    <definedName name="District7">Data!$AB$28:$AB$32</definedName>
    <definedName name="District8">Data!$AB$33:$AB$38</definedName>
    <definedName name="District9">Data!$AB$39:$AB$40</definedName>
    <definedName name="districtId">Data!$AA$2:$AA$215</definedName>
    <definedName name="districtName">Data!$AB$2:$AB$215</definedName>
    <definedName name="DTAACredits.AmountTotalS">R_DTAA_Credits!$E$5</definedName>
    <definedName name="DTAACredits.AmountTotalW">R_DTAA_Credits!$E$13</definedName>
    <definedName name="DTAACredits.DetailsS">R_DTAA_Credits!$A$3:$G$4</definedName>
    <definedName name="DTAACredits.DetailsW">R_DTAA_Credits!$A$11:$G$12</definedName>
    <definedName name="DTAEMPIncomeS">R_DTAA_Credits!$D$5</definedName>
    <definedName name="DTAEMPIncomeW">R_DTAA_Credits!$D$13</definedName>
    <definedName name="DtlIncomePaid.IncomePaidAdvanceList">[1]I_IT_Payment_Credits!$A$3:$D$4</definedName>
    <definedName name="DtlIncomePaid.IncomePaidAdvanceListS">Q_IT_Payment_Credits!$A$4:$E$5</definedName>
    <definedName name="DtlIncomePaid.IncomePaidAdvanceListSTO">Q_IT_Payment_Credits!$C$6</definedName>
    <definedName name="DtlIncomePaid.IncomePaidAdvanceListTO">[1]I_IT_Payment_Credits!$C$5</definedName>
    <definedName name="DtlIncomePaid.IncomePaidAdvanceListW">Q_IT_Payment_Credits!$A$22:$E$23</definedName>
    <definedName name="DtlIncomePaid.IncomePaidAdvanceListWTO">Q_IT_Payment_Credits!$C$24</definedName>
    <definedName name="DtlIncomePaid.IncomePaidAdvncSelfAssmntListSTO">Q_IT_Payment_Credits!$C$15</definedName>
    <definedName name="DtlIncomePaid.IncomePaidAdvncSelfAssmntListWTO">Q_IT_Payment_Credits!$C$33</definedName>
    <definedName name="DtlIncomePaid.IncomePaidSelfAssmntListS">Q_IT_Payment_Credits!$A$12:$E$13</definedName>
    <definedName name="DtlIncomePaid.IncomePaidSelfAssmntListSTO">Q_IT_Payment_Credits!$C$14</definedName>
    <definedName name="DtlIncomePaid.IncomePaidSelfAssmntListW">Q_IT_Payment_Credits!$A$30:$E$31</definedName>
    <definedName name="DtlIncomePaid.IncomePaidSelfAssmntListWTO">Q_IT_Payment_Credits!$C$32</definedName>
    <definedName name="DtlIncomePaid.IncomeSelfAssPmtList">[2]I_IT_Payment_Credits!$A$10:$D$11</definedName>
    <definedName name="DtlIncomePaid.IncomeSelfAssPmtListTO">[2]I_IT_Payment_Credits!$C$12</definedName>
    <definedName name="DtlIncomePaid.IncomeTaxPaidTO">[2]I_IT_Payment_Credits!$C$13</definedName>
    <definedName name="DtlLossFrwd.BussEarlierLoss">[2]K_Previous_Years_Losses!$C$8</definedName>
    <definedName name="DtlLossFrwd.BussEarlierLossS">S_Previous_Years_Losses!$C$13</definedName>
    <definedName name="DtlLossFrwd.BussEarlierLossW">S_Previous_Years_Losses!$C$32</definedName>
    <definedName name="DtlLossFrwd.BussinessS">S_Previous_Years_Losses!$C$4:$C$18</definedName>
    <definedName name="DtlLossFrwd.BussinessW">S_Previous_Years_Losses!$C$23:$C$37</definedName>
    <definedName name="DtlLossFrwd.BussLossAdjust">[2]K_Previous_Years_Losses!$C$9</definedName>
    <definedName name="DtlLossFrwd.BussLossAdjustS">S_Previous_Years_Losses!$C$14</definedName>
    <definedName name="DtlLossFrwd.BussLossAdjustW">S_Previous_Years_Losses!$C$33</definedName>
    <definedName name="DtlLossFrwd.CommEarlierLossS">S_Previous_Years_Losses!$G$13</definedName>
    <definedName name="DtlLossFrwd.CommEarlierLossW">S_Previous_Years_Losses!$G$32</definedName>
    <definedName name="DtlLossFrwd.CommissionS">S_Previous_Years_Losses!$G$4:$G$18</definedName>
    <definedName name="DtlLossFrwd.CommissionW">S_Previous_Years_Losses!$G$23:$G$37</definedName>
    <definedName name="DtlLossFrwd.CommLossAdjustS">S_Previous_Years_Losses!$G$14</definedName>
    <definedName name="DtlLossFrwd.CommLossAdjustW">S_Previous_Years_Losses!$G$33</definedName>
    <definedName name="DtlLossFrwd.FarmEarlierLoss">[2]K_Previous_Years_Losses!$D$8</definedName>
    <definedName name="DtlLossFrwd.FarmEarlierLossS">S_Previous_Years_Losses!$D$13</definedName>
    <definedName name="DtlLossFrwd.FarmEarlierLossW">S_Previous_Years_Losses!$D$32</definedName>
    <definedName name="DtlLossFrwd.FarmingS">S_Previous_Years_Losses!$D$4:$D$18</definedName>
    <definedName name="DtlLossFrwd.FarmingW">S_Previous_Years_Losses!$D$23:$D$37</definedName>
    <definedName name="DtlLossFrwd.FarmLossAdjust">[2]K_Previous_Years_Losses!$D$9</definedName>
    <definedName name="DtlLossFrwd.FarmLossAdjustS">S_Previous_Years_Losses!$D$14</definedName>
    <definedName name="DtlLossFrwd.FarmLossAdjustW">S_Previous_Years_Losses!$D$33</definedName>
    <definedName name="DtlLossFrwd.InterestLossAdjust">[2]K_Previous_Years_Losses!$F$9</definedName>
    <definedName name="DtlLossFrwd.InterestLossAdjustS">S_Previous_Years_Losses!$F$14</definedName>
    <definedName name="DtlLossFrwd.InterestLossAdjustW">S_Previous_Years_Losses!$F$33</definedName>
    <definedName name="DtlLossFrwd.InterestS">S_Previous_Years_Losses!$F$4:$F$18</definedName>
    <definedName name="DtlLossFrwd.InterestW">S_Previous_Years_Losses!$F$23:$F$37</definedName>
    <definedName name="DtlLossFrwd.IntrEarlierLoss">[2]K_Previous_Years_Losses!$F$8</definedName>
    <definedName name="DtlLossFrwd.IntrEarlierLossS">S_Previous_Years_Losses!$F$13</definedName>
    <definedName name="DtlLossFrwd.IntrEarlierLossW">S_Previous_Years_Losses!$F$32</definedName>
    <definedName name="DtlLossFrwd.OtherEarlierLoss">[2]K_Previous_Years_Losses!$G$8</definedName>
    <definedName name="DtlLossFrwd.OtherEarlierLossW">S_Previous_Years_Losses!$H$32</definedName>
    <definedName name="DtlLossFrwd.OtherLossAdjust">[2]K_Previous_Years_Losses!$G$9</definedName>
    <definedName name="DtlLossFrwd.OtherLossAdjustS">S_Previous_Years_Losses!$H$14</definedName>
    <definedName name="DtlLossFrwd.OtherLossAdjustW">S_Previous_Years_Losses!$H$33</definedName>
    <definedName name="DtlLossFrwd.OtherS">S_Previous_Years_Losses!$H$4:$H$18</definedName>
    <definedName name="DtlLossFrwd.OtherW">S_Previous_Years_Losses!$H$23:$H$37</definedName>
    <definedName name="DtlLossFrwd.OthrEarlierLossS">S_Previous_Years_Losses!$H$13</definedName>
    <definedName name="DtlLossFrwd.RentalS">S_Previous_Years_Losses!$E$4:$E$18</definedName>
    <definedName name="DtlLossFrwd.RentalW">S_Previous_Years_Losses!$E$23:$E$37</definedName>
    <definedName name="DtlLossFrwd.RentEarlierLoss">[2]K_Previous_Years_Losses!$E$8</definedName>
    <definedName name="DtlLossFrwd.RentEarlierLossS">S_Previous_Years_Losses!$E$13</definedName>
    <definedName name="DtlLossFrwd.RentEarlierLossW">S_Previous_Years_Losses!$E$32</definedName>
    <definedName name="DtlLossFrwd.RentLossAdjust">[2]K_Previous_Years_Losses!$E$9</definedName>
    <definedName name="DtlLossFrwd.RentLossAdjustS">S_Previous_Years_Losses!$E$14</definedName>
    <definedName name="DtlLossFrwd.RentLossAdjustW">S_Previous_Years_Losses!$E$33</definedName>
    <definedName name="DtlLossFrwd.TotalS">S_Previous_Years_Losses!$I$4:$I$18</definedName>
    <definedName name="DtlLossFrwd.TotalW">S_Previous_Years_Losses!$I$23:$I$37</definedName>
    <definedName name="EmpIncome.ListS">F_Employment_Income!$A$3:$I$4</definedName>
    <definedName name="EmpIncome.ListSPENSAPRDEC">F_Employment_Income!$H$9</definedName>
    <definedName name="EmpIncome.ListSPENSAPRDECLbl">F_Employment_Income!$A$9</definedName>
    <definedName name="EmpIncome.ListSPENSJANMAR">F_Employment_Income!$H$7</definedName>
    <definedName name="EmpIncome.ListSPENSJANMARLbl">F_Employment_Income!$A$7</definedName>
    <definedName name="EmpIncome.ListSTO">F_Employment_Income!$H$5</definedName>
    <definedName name="EmpIncome.ListSTOAPRDEC">F_Employment_Income!$H$8</definedName>
    <definedName name="EmpIncome.ListSTOAPRDECLbl">F_Employment_Income!$A$8</definedName>
    <definedName name="EmpIncome.ListSTOJanDecPensionSum">F_Employment_Income!$I$9</definedName>
    <definedName name="EmpIncome.ListSTOJanDecSum">F_Employment_Income!$I$6</definedName>
    <definedName name="EmpIncome.ListSTOJANMAR">F_Employment_Income!$H$6</definedName>
    <definedName name="EmpIncome.ListSTOJANMARLbl">F_Employment_Income!$A$6</definedName>
    <definedName name="EmpIncome.ListW">F_Employment_Income!$A$15:$I$16</definedName>
    <definedName name="EmpIncome.ListWPENAPRDEC">F_Employment_Income!$H$21</definedName>
    <definedName name="EmpIncome.ListWPENJANMAR">F_Employment_Income!$H$19</definedName>
    <definedName name="EmpIncome.ListWTO">F_Employment_Income!$H$17</definedName>
    <definedName name="EmpIncome.ListWTOAPRDEC">F_Employment_Income!$H$20</definedName>
    <definedName name="EmpIncome.ListWTOJanDecPensionSum">F_Employment_Income!$I$21</definedName>
    <definedName name="EmpIncome.ListWTOJanDecSum">F_Employment_Income!$I$18</definedName>
    <definedName name="EmpIncome.ListWTOJANMAR">F_Employment_Income!$H$18</definedName>
    <definedName name="employment">Data!$A$2:$A$3</definedName>
    <definedName name="EntityType">[1]Data!$D$57:$D$58</definedName>
    <definedName name="EPZYN">[1]Data!$D$101:$D$102</definedName>
    <definedName name="ErrMsg.Alphabet">Data!$A$74</definedName>
    <definedName name="ErrMsg.alphanumeric">Data!$A$73</definedName>
    <definedName name="ErrMsg.alphanumericonly">Data!$A$79</definedName>
    <definedName name="ErrMsg.CompareToTaxPayerPin">Data!$A$76</definedName>
    <definedName name="ErrMsg.DateFormat">Data!$A$71</definedName>
    <definedName name="ErrMsg.Mandatory">Data!$A$75</definedName>
    <definedName name="ErrMsg.Mandatory1">[4]Data!$A$94</definedName>
    <definedName name="ErrMsg.NumericVal">Data!$A$72</definedName>
    <definedName name="ErrMsg.PinFormat">Data!$A$77</definedName>
    <definedName name="ErrMsg.WithinRtnPeriod">Data!$A$78</definedName>
    <definedName name="Estate.AdminTrustExpense">[1]L_Estate_Trust_Distri_Inco!$C$4</definedName>
    <definedName name="Estate.DistIncome">[1]L_Estate_Trust_Distri_Inco!$C$6</definedName>
    <definedName name="Estate.DistIncomeAct">[1]L_Estate_Trust_Distri_Inco!$C$8</definedName>
    <definedName name="Estate.DistIncomePerc">[1]L_Estate_Trust_Distri_Inco!$C$7</definedName>
    <definedName name="EstateTrust.ListS">H_Estate_Trust_Income!$A$3:$G$4</definedName>
    <definedName name="EstateTrust.ListTOS">H_Estate_Trust_Income!$F$5</definedName>
    <definedName name="EstateTrust.ListTOW">H_Estate_Trust_Income!$F$11</definedName>
    <definedName name="EstateTrust.ListW">H_Estate_Trust_Income!$A$9:$G$10</definedName>
    <definedName name="exempt.MonthCodeS">A_Basic_Info!$G$70</definedName>
    <definedName name="exempt.MonthCodeSAprDec">A_Basic_Info!$H$71</definedName>
    <definedName name="exempt.MonthCodeSJanJun">A_Basic_Info!$G$72</definedName>
    <definedName name="exempt.MonthCodeSJanMar">A_Basic_Info!$G$71</definedName>
    <definedName name="exempt.MonthCodeSJulDec">A_Basic_Info!$H$72</definedName>
    <definedName name="exempt.MonthCodeSMax">A_Basic_Info!$E$70</definedName>
    <definedName name="exempt.MonthCodeSMin">A_Basic_Info!$F$70</definedName>
    <definedName name="exempt.MonthCodeW">A_Basic_Info!$G$76</definedName>
    <definedName name="exempt.MonthCodeWAprDec">A_Basic_Info!$H$77</definedName>
    <definedName name="exempt.MonthCodeWJanMar">A_Basic_Info!$G$77</definedName>
    <definedName name="exempt.MonthCodeWMax">A_Basic_Info!$E$77</definedName>
    <definedName name="exempt.MonthCodeWMin">A_Basic_Info!$F$77</definedName>
    <definedName name="ExemptCerti.ListS">A_Basic_Info!$A$68:$D$69</definedName>
    <definedName name="ExemptCerti.ListW">A_Basic_Info!$A$74:$D$75</definedName>
    <definedName name="FinalTax.TaxOnTaxableIncome">[2]L_Tax_Computation!$C$70</definedName>
    <definedName name="FinalTax.TaxRefundDue">[1]K_Tax_Computation!$C$81</definedName>
    <definedName name="FinalTax.TaxRefundDueS">T_Tax_Computation!$C$31</definedName>
    <definedName name="FinalTax.TaxRefundDueW">T_Tax_Computation!$E$31</definedName>
    <definedName name="FinalTax.TotalTxbIncome">[1]K_Tax_Computation!$C$71</definedName>
    <definedName name="formId">Data!$A$22</definedName>
    <definedName name="genXML">Data!$C$24</definedName>
    <definedName name="HomeOwnershipSavingPlan.ListS">K_Home_Ownership_Saving_Plan!$A$3:$E$4</definedName>
    <definedName name="HomeOwnershipSavingPlan.ListSTO">K_Home_Ownership_Saving_Plan!$D$5</definedName>
    <definedName name="HomeOwnershipSavingPlan.ListSTOAPRDEC">K_Home_Ownership_Saving_Plan!$D$7</definedName>
    <definedName name="HomeOwnershipSavingPlan.ListSTOJanDecSum">K_Home_Ownership_Saving_Plan!$E$6</definedName>
    <definedName name="HomeOwnershipSavingPlan.ListSTOJANMAR">K_Home_Ownership_Saving_Plan!$D$6</definedName>
    <definedName name="HomeOwnershipSavingPlan.ListW">K_Home_Ownership_Saving_Plan!$A$13:$E$14</definedName>
    <definedName name="HomeOwnershipSavingPlan.ListWTO">K_Home_Ownership_Saving_Plan!$D$15</definedName>
    <definedName name="HomeOwnershipSavingPlan.ListWTOAPRDEC">K_Home_Ownership_Saving_Plan!$D$17</definedName>
    <definedName name="HomeOwnershipSavingPlan.ListWTOJanDecSum">K_Home_Ownership_Saving_Plan!$E$16</definedName>
    <definedName name="HomeOwnershipSavingPlan.ListWTOJANMAR">K_Home_Ownership_Saving_Plan!$D$16</definedName>
    <definedName name="HospJanMar2020Self">T_Tax_Computation!$E$7</definedName>
    <definedName name="HospJanMar2020Wife">T_Tax_Computation!$E$8</definedName>
    <definedName name="IniAllIBD.CostTO">[1]E1_IDA_CA!$D$12</definedName>
    <definedName name="IniAllIBD.CostTOS">E1_IDA_CA!$F$17</definedName>
    <definedName name="IniAllIBD.CostTOW">E1_IDA_CA!$F$23</definedName>
    <definedName name="IniAllIBD.IBDListPart2">[1]E1_IDA_CA!$H$12</definedName>
    <definedName name="IniAllIBD.ListPart2">[1]E1_IDA_CA!$A$10:$I$11</definedName>
    <definedName name="IniAllIBD.ListPart2IBDTOS">E1_IDA_CA!$J$17</definedName>
    <definedName name="IniAllIBD.ListPart2IBDTOW">E1_IDA_CA!$J$23</definedName>
    <definedName name="IniAllIBD.ListPart2IniAll">[1]E1_IDA_CA!$E$12</definedName>
    <definedName name="IniAllIBD.ListPart2IniAllS">E1_IDA_CA!$G$17</definedName>
    <definedName name="IniAllIBD.ListPart2IniAllW">E1_IDA_CA!$G$23</definedName>
    <definedName name="IniAllIBD.ListPart2ResValTOS">E1_IDA_CA!$I$17</definedName>
    <definedName name="IniAllIBD.ListPart2ResValTOW">E1_IDA_CA!$I$23</definedName>
    <definedName name="IniAllIBD.ListPart2S">E1_IDA_CA!$A$15:$L$16</definedName>
    <definedName name="IniAllIBD.ListPart2W">E1_IDA_CA!$A$21:$L$22</definedName>
    <definedName name="IniAllIBD.QualExpeTO">[1]E1_IDA_CA!$F$12</definedName>
    <definedName name="IniAllIBD.QualExpeTOS">E1_IDA_CA!$H$17</definedName>
    <definedName name="IniAllIBD.QualExpeTOW">E1_IDA_CA!$H$23</definedName>
    <definedName name="IniAllIBD.ResidentValueCFListPart2">[1]E1_IDA_CA!$I$12</definedName>
    <definedName name="IniAllIBD.ResidentValueListPart2">[1]E1_IDA_CA!$G$12</definedName>
    <definedName name="IniAllIBD.ResiValueTOS">E1_IDA_CA!$K$17</definedName>
    <definedName name="IniAllIBD.ResiValueTOW">E1_IDA_CA!$K$23</definedName>
    <definedName name="IniAllPlanMach.CostTO">[1]E1_IDA_CA!$G$5</definedName>
    <definedName name="IniAllPlanMach.CostTOS">E1_IDA_CA!$I$5</definedName>
    <definedName name="IniAllPlanMach.CostTOW">E1_IDA_CA!$I$11</definedName>
    <definedName name="IniAllPlanMach.ListPart1">[1]E1_IDA_CA!$A$3:$I$4</definedName>
    <definedName name="IniAllPlanMach.ListPart1IniAll">[1]E1_IDA_CA!$H$5</definedName>
    <definedName name="IniAllPlanMach.ListPart1IniAllS">E1_IDA_CA!$J$5</definedName>
    <definedName name="IniAllPlanMach.ListPart1IniAllW">E1_IDA_CA!$J$11</definedName>
    <definedName name="IniAllPlanMach.ListPart1S">E1_IDA_CA!$A$3:$L$4</definedName>
    <definedName name="IniAllPlanMach.ListPart1W">E1_IDA_CA!$A$9:$L$10</definedName>
    <definedName name="InsReliefDtls.ListS">L_Computation_of_Insu_Relief!$A$3:$N$4</definedName>
    <definedName name="InsReliefDtls.ListSTO">L_Computation_of_Insu_Relief!$K$5</definedName>
    <definedName name="InsReliefDtls.ListW">L_Computation_of_Insu_Relief!$A$11:$N$12</definedName>
    <definedName name="InsReliefDtls.ListWTO">L_Computation_of_Insu_Relief!$K$13</definedName>
    <definedName name="InstallmentTax.List">[1]F_Installment_Tax_Credits!$A$3:$D$4</definedName>
    <definedName name="InstallmentTax.ListS">N_Installment_Tax_Credits!$A$3:$E$4</definedName>
    <definedName name="InstallmentTax.ListSTO">N_Installment_Tax_Credits!$C$5</definedName>
    <definedName name="InstallmentTax.ListTO">[1]F_Installment_Tax_Credits!$C$5</definedName>
    <definedName name="InstallmentTax.ListW">N_Installment_Tax_Credits!$A$11:$E$12</definedName>
    <definedName name="InstallmentTax.ListWTO">N_Installment_Tax_Credits!$C$13</definedName>
    <definedName name="Inv.ClosingStockKIITOS">D_Stock_Analysis!$G$19</definedName>
    <definedName name="Inv.ClosingStockKIITOW">D_Stock_Analysis!$G$27</definedName>
    <definedName name="Inv.ClosingStockTOS">D_Stock_Analysis!$F$5</definedName>
    <definedName name="Inv.ClosingStockTOW">D_Stock_Analysis!$F$13</definedName>
    <definedName name="Inv.ConsKIITOS">D_Stock_Analysis!$E$19</definedName>
    <definedName name="Inv.ConsKIITOW">D_Stock_Analysis!$E$27</definedName>
    <definedName name="Inv.OpeningStockKIITOS">D_Stock_Analysis!$C$19</definedName>
    <definedName name="Inv.OpeningStockKIITOW">D_Stock_Analysis!$C$27</definedName>
    <definedName name="Inv.OpeningStockTOS">D_Stock_Analysis!$C$5</definedName>
    <definedName name="Inv.OpeningStockTOW">D_Stock_Analysis!$C$13</definedName>
    <definedName name="Inv.PurchaseKIITOS">D_Stock_Analysis!$D$19</definedName>
    <definedName name="Inv.PurchaseKIITOW">D_Stock_Analysis!$D$27</definedName>
    <definedName name="Inv.PurchaseTOS">D_Stock_Analysis!$D$5</definedName>
    <definedName name="Inv.PurchaseTOW">D_Stock_Analysis!$D$13</definedName>
    <definedName name="Inv.QuantDtlsClosingStckList">#REF!</definedName>
    <definedName name="Inv.QuantDtlsClosingStckListKII">#REF!</definedName>
    <definedName name="Inv.QuantDtlsConsumptionListKII">#REF!</definedName>
    <definedName name="Inv.QuantDtlsList">#REF!</definedName>
    <definedName name="Inv.QuantDtlsListKII">#REF!</definedName>
    <definedName name="Inv.QuantDtlsListKIIS">D_Stock_Analysis!$A$17:$L$18</definedName>
    <definedName name="Inv.QuantDtlsListKIIW">D_Stock_Analysis!$A$25:$L$26</definedName>
    <definedName name="Inv.QuantDtlsListS">D_Stock_Analysis!$A$3:$I$4</definedName>
    <definedName name="Inv.QuantDtlsListW">D_Stock_Analysis!$A$11:$I$12</definedName>
    <definedName name="Inv.QuantDtlsOpenStockListKII">#REF!</definedName>
    <definedName name="Inv.QuantDtlsOpnStckList">#REF!</definedName>
    <definedName name="Inv.QuantDtlsPurchaseList">#REF!</definedName>
    <definedName name="Inv.QuantDtlsPurchaseListKII">#REF!</definedName>
    <definedName name="Inv.QuantDtlsSalesQualtyListKII">#REF!</definedName>
    <definedName name="Inv.QuantDtlsSalesQuatyList">#REF!</definedName>
    <definedName name="Inv.QuantDtlsShortageExcess">#REF!</definedName>
    <definedName name="Inv.QuantDtlsShortageExcessListKII">#REF!</definedName>
    <definedName name="Inv.QuantDtlsYieldPrdctUnitListKII">#REF!</definedName>
    <definedName name="Inv.QunDtlExprtRldParty">#REF!</definedName>
    <definedName name="Inv.QunDtlExprtRldPartyPII">#REF!</definedName>
    <definedName name="Inv.QunDtlExprtUnRldParty">#REF!</definedName>
    <definedName name="Inv.QunDtlExprtUnRldPartyPII">#REF!</definedName>
    <definedName name="Inv.QunDtlImprtRldParty">#REF!</definedName>
    <definedName name="Inv.QunDtlImprtRldPartyPII">#REF!</definedName>
    <definedName name="Inv.QunDtlImprtUnRldParty">#REF!</definedName>
    <definedName name="Inv.QunDtlImprtUnRldPartyPII">#REF!</definedName>
    <definedName name="Inv.SalesQuantKIITOS">D_Stock_Analysis!$F$19</definedName>
    <definedName name="Inv.SalesQuantKIITOW">D_Stock_Analysis!$F$27</definedName>
    <definedName name="Inv.SalesQuantTOS">D_Stock_Analysis!$E$5</definedName>
    <definedName name="Inv.SalesQuantTOW">D_Stock_Analysis!$E$13</definedName>
    <definedName name="Inv.StorageKIITOS">D_Stock_Analysis!$J$19</definedName>
    <definedName name="Inv.StorageKIITOW">D_Stock_Analysis!$J$27</definedName>
    <definedName name="Inv.StorageTOS">D_Stock_Analysis!$G$5</definedName>
    <definedName name="Inv.StorageTOW">D_Stock_Analysis!$G$13</definedName>
    <definedName name="Inv.YieldKIITOS">D_Stock_Analysis!$H$19</definedName>
    <definedName name="Inv.YieldKIITOW">D_Stock_Analysis!$H$27</definedName>
    <definedName name="isAuditAvailable">A_Basic_Info!$D$30</definedName>
    <definedName name="isAuditAvailableW">A_Basic_Info!$E$30</definedName>
    <definedName name="ItemCatE1P1">Data!$F$62:$F$63</definedName>
    <definedName name="ItemCatListE1P4">Data!$F$97:$F$99</definedName>
    <definedName name="ItemCodeCapAllow">Data!$J$2:$J$5</definedName>
    <definedName name="ItemDescForIndefeasible">Data!$F$73</definedName>
    <definedName name="ItemDescForMachine">Data!$F$67:$F$69</definedName>
    <definedName name="ItemListCapAllow">Data!$I$2:$I$5</definedName>
    <definedName name="ListingStatus">[1]Data!$D$83:$D$84</definedName>
    <definedName name="listNames">Data!$D$27</definedName>
    <definedName name="Loacl63">Data!$AF$209</definedName>
    <definedName name="Local1">Data!$AF$2:$AF$7</definedName>
    <definedName name="Local10">Data!$AF$48:$AF$50</definedName>
    <definedName name="Local100">Data!$AF$277:$AF$278</definedName>
    <definedName name="Local101">Data!$AF$279:$AF$280</definedName>
    <definedName name="Local102">Data!$AF$281:$AF$282</definedName>
    <definedName name="Local103">Data!$AF$283:$AF$286</definedName>
    <definedName name="Local104">Data!$AF$287:$AF$290</definedName>
    <definedName name="Local105">Data!$AF$291:$AF$294</definedName>
    <definedName name="Local106">Data!$AF$295:$AF$297</definedName>
    <definedName name="Local107">Data!$AF$298</definedName>
    <definedName name="Local108">Data!$AF$299</definedName>
    <definedName name="Local109">Data!$AF$300</definedName>
    <definedName name="Local11">Data!$AF$51</definedName>
    <definedName name="Local110">Data!$AF$301</definedName>
    <definedName name="Local111">Data!$AF$302</definedName>
    <definedName name="Local112">Data!$AF$303</definedName>
    <definedName name="Local113">Data!$AF$304</definedName>
    <definedName name="Local114">Data!$AF$305</definedName>
    <definedName name="Local115">Data!$AF$306</definedName>
    <definedName name="Local116">Data!$AF$307</definedName>
    <definedName name="Local117">Data!$AF$308</definedName>
    <definedName name="Local118">Data!$AF$309</definedName>
    <definedName name="Local119">Data!$AF$310</definedName>
    <definedName name="Local12">Data!$AF$52:$AF$56</definedName>
    <definedName name="Local120">Data!$AF$311</definedName>
    <definedName name="Local121">Data!$AF$312</definedName>
    <definedName name="Local122">Data!$AF$313</definedName>
    <definedName name="Local123">Data!$AF$314</definedName>
    <definedName name="Local124">Data!$AF$315</definedName>
    <definedName name="Local125">Data!$AF$316</definedName>
    <definedName name="Local126">Data!$AF$317</definedName>
    <definedName name="Local127">Data!$AF$318</definedName>
    <definedName name="Local128">Data!$AF$319</definedName>
    <definedName name="Local129">Data!$AF$320</definedName>
    <definedName name="Local13">Data!$AF$57:$AF$64</definedName>
    <definedName name="Local130">Data!$AF$321</definedName>
    <definedName name="Local131">Data!$AF$322</definedName>
    <definedName name="Local132">Data!$AF$323</definedName>
    <definedName name="Local133">Data!$AF$324</definedName>
    <definedName name="Local134">Data!$AF$325:$AF$326</definedName>
    <definedName name="Local135">Data!$AF$327</definedName>
    <definedName name="Local136">Data!$AF$328</definedName>
    <definedName name="Local137">Data!$AF$329</definedName>
    <definedName name="Local138">Data!$AF$330</definedName>
    <definedName name="Local139">Data!$AF$331</definedName>
    <definedName name="Local14">Data!$AF$65:$AF$69</definedName>
    <definedName name="Local140">Data!$AF$332</definedName>
    <definedName name="Local141">Data!$AF$333:$AF$336</definedName>
    <definedName name="Local142">Data!$AF$337</definedName>
    <definedName name="Local143">Data!$AF$338</definedName>
    <definedName name="Local144">Data!$AF$339</definedName>
    <definedName name="Local145">Data!$AF$340:$AF$342</definedName>
    <definedName name="Local146">Data!$AF$343:$AF$346</definedName>
    <definedName name="Local147">Data!$AF$347:$AF$349</definedName>
    <definedName name="Local148">Data!$AF$350</definedName>
    <definedName name="Local149">Data!$AF$351</definedName>
    <definedName name="Local15">Data!$AF$70:$AF$77</definedName>
    <definedName name="Local150">Data!$AF$352</definedName>
    <definedName name="Local151">Data!$AF$353</definedName>
    <definedName name="Local152">Data!$AF$354</definedName>
    <definedName name="Local153">Data!$AF$355</definedName>
    <definedName name="Local154">Data!$AF$356:$AF$359</definedName>
    <definedName name="Local155">Data!$AF$360:$AF$363</definedName>
    <definedName name="Local156">Data!$AF$364:$AF$365</definedName>
    <definedName name="Local157">Data!$AF$366</definedName>
    <definedName name="Local158">Data!$AF$367:$AF$371</definedName>
    <definedName name="Local159">Data!$AF$372:$AF$373</definedName>
    <definedName name="Local16">Data!$AF$78:$AF$80</definedName>
    <definedName name="Local160">Data!$AF$374</definedName>
    <definedName name="Local161">Data!$AF$375:$AF$376</definedName>
    <definedName name="Local162">Data!$AF$377:$AF$379</definedName>
    <definedName name="Local163">Data!$AF$380</definedName>
    <definedName name="Local164">Data!$AF$381:$AF$387</definedName>
    <definedName name="Local165">Data!$AF$388:$AF$389</definedName>
    <definedName name="Local166">Data!$AF$390</definedName>
    <definedName name="Local167">Data!$AF$391</definedName>
    <definedName name="Local168">Data!$AF$392</definedName>
    <definedName name="Local169">Data!$AF$393</definedName>
    <definedName name="Local17">Data!$AF$81:$AF$85</definedName>
    <definedName name="Local170">Data!$AF$394</definedName>
    <definedName name="Local171">Data!$AF$395</definedName>
    <definedName name="Local172">Data!$AF$396:$AF$397</definedName>
    <definedName name="Local173">Data!$AF$398</definedName>
    <definedName name="Local174">Data!$AF$399</definedName>
    <definedName name="Local175">Data!$AF$400</definedName>
    <definedName name="Local176">Data!$AF$401</definedName>
    <definedName name="Local177">Data!$AF$402</definedName>
    <definedName name="Local178">Data!$AF$403</definedName>
    <definedName name="Local179">Data!$AF$404</definedName>
    <definedName name="Local18">Data!$AF$86:$AF$90</definedName>
    <definedName name="Local180">Data!$AF$405</definedName>
    <definedName name="Local181">Data!$AF$406</definedName>
    <definedName name="Local182">Data!$AF$407</definedName>
    <definedName name="Local183">Data!$AF$408</definedName>
    <definedName name="Local184">Data!$AF$409</definedName>
    <definedName name="Local185">Data!$AF$410</definedName>
    <definedName name="Local186">Data!$AF$411</definedName>
    <definedName name="Local187">Data!$AF$412</definedName>
    <definedName name="Local188">Data!$AF$413</definedName>
    <definedName name="Local189">Data!$AF$414</definedName>
    <definedName name="Local19">Data!$AF$91:$AF$99</definedName>
    <definedName name="Local190">Data!$AF$415</definedName>
    <definedName name="Local191">Data!$AF$416</definedName>
    <definedName name="Local192">Data!$AF$417:$AF$440</definedName>
    <definedName name="Local193">Data!$AF$441:$AF$470</definedName>
    <definedName name="Local194">Data!$AF$471:$AF$478</definedName>
    <definedName name="Local195">Data!$AF$479:$AF$505</definedName>
    <definedName name="Local196">Data!$AF$506:$AF$511</definedName>
    <definedName name="Local197">Data!$AF$512:$AF$514</definedName>
    <definedName name="Local198">Data!$AF$515:$AF$519</definedName>
    <definedName name="Local199">Data!$AF$520:$AF$524</definedName>
    <definedName name="Local2">Data!$AF$8:$AF$10</definedName>
    <definedName name="Local20">Data!$AF$100</definedName>
    <definedName name="Local200">Data!$AF$525:$AF$531</definedName>
    <definedName name="Local201">Data!$AF$532:$AF$535</definedName>
    <definedName name="Local202">Data!$AF$536:$AF$539</definedName>
    <definedName name="Local203">Data!$AF$540:$AF$550</definedName>
    <definedName name="Local204">Data!$AF$551:$AF$564</definedName>
    <definedName name="Local205">Data!$AF$565:$AF$568</definedName>
    <definedName name="Local206">Data!$AF$569</definedName>
    <definedName name="Local207">Data!$AF$570:$AF$574</definedName>
    <definedName name="Local208">Data!$AF$575:$AF$582</definedName>
    <definedName name="Local209">Data!$AF$583:$AF$588</definedName>
    <definedName name="Local21">Data!$AF$101</definedName>
    <definedName name="Local210">Data!$AF$589</definedName>
    <definedName name="Local211">Data!$AF$590:$AF$596</definedName>
    <definedName name="Local212">Data!$AF$597:$AF$603</definedName>
    <definedName name="Local213">Data!$AF$604:$AF$607</definedName>
    <definedName name="Local214">Data!$AF$608:$AF$609</definedName>
    <definedName name="Local22">Data!$AF$102</definedName>
    <definedName name="Local23">Data!$AF$103</definedName>
    <definedName name="Local24">Data!$AF$104</definedName>
    <definedName name="Local25">Data!$AF$105</definedName>
    <definedName name="Local26">Data!$AF$106:$AF$112</definedName>
    <definedName name="Local27">Data!$AF$113:$AF$118</definedName>
    <definedName name="Local28">Data!$AF$119:$AF$120</definedName>
    <definedName name="Local29">Data!$AF$121:$AF$127</definedName>
    <definedName name="Local3">Data!$AF$11:$AF$21</definedName>
    <definedName name="Local30">Data!$AF$128</definedName>
    <definedName name="Local31">Data!$AF$129:$AF$133</definedName>
    <definedName name="Local32">Data!$AF$134</definedName>
    <definedName name="Local33">Data!$AF$135</definedName>
    <definedName name="Local34">Data!$AF$136</definedName>
    <definedName name="Local35">Data!$AF$137</definedName>
    <definedName name="Local36">Data!$AF$138</definedName>
    <definedName name="Local37">Data!$AF$139</definedName>
    <definedName name="Local38">Data!$AF$140</definedName>
    <definedName name="Local39">Data!$AF$141</definedName>
    <definedName name="Local4">Data!$AF$22:$AF$25</definedName>
    <definedName name="Local40">Data!$AF$142</definedName>
    <definedName name="Local41">Data!$AF$143</definedName>
    <definedName name="Local42">Data!$AF$144</definedName>
    <definedName name="Local43">Data!$AF$145</definedName>
    <definedName name="Local44">Data!$AF$146:$AF$148</definedName>
    <definedName name="Local45">Data!$AF$149:$AF$154</definedName>
    <definedName name="Local46">Data!$AF$155</definedName>
    <definedName name="Local47">Data!$AF$156:$AF$157</definedName>
    <definedName name="Local48">Data!$AF$158:$AF$168</definedName>
    <definedName name="Local49">Data!$AF$169:$AF$173</definedName>
    <definedName name="Local5">Data!$AF$26</definedName>
    <definedName name="Local50">Data!$AF$174:$AF$176</definedName>
    <definedName name="Local51">Data!$AF$177:$AF$182</definedName>
    <definedName name="Local52">Data!$AF$183</definedName>
    <definedName name="Local53">Data!$AF$184</definedName>
    <definedName name="Local54">Data!$AF$185</definedName>
    <definedName name="Local55">Data!$AF$186</definedName>
    <definedName name="Local56">Data!$AF$187:$AF$193</definedName>
    <definedName name="Local57">Data!$AF$194</definedName>
    <definedName name="Local58">Data!$AF$195</definedName>
    <definedName name="Local59">Data!$AF$196:$AF$198</definedName>
    <definedName name="Local6">Data!$AF$27:$AF$34</definedName>
    <definedName name="Local60">Data!$AF$199:$AF$206</definedName>
    <definedName name="Local61">Data!$AF$207</definedName>
    <definedName name="Local62">Data!$AF$208</definedName>
    <definedName name="Local64">Data!$AF$210:$AF$218</definedName>
    <definedName name="Local65">Data!$AF$219:$AF$220</definedName>
    <definedName name="Local66">Data!$AF$221</definedName>
    <definedName name="Local67">Data!$AF$222</definedName>
    <definedName name="Local68">Data!$AF$223</definedName>
    <definedName name="Local69">Data!$AF$224</definedName>
    <definedName name="Local7">Data!$AF$35:$AF$38</definedName>
    <definedName name="Local70">Data!$AF$225</definedName>
    <definedName name="Local71">Data!$AF$226</definedName>
    <definedName name="Local72">Data!$AF$227</definedName>
    <definedName name="Local73">Data!$AF$228</definedName>
    <definedName name="Local74">Data!$AF$229</definedName>
    <definedName name="Local75">Data!$AF$230</definedName>
    <definedName name="Local76">Data!$AF$231</definedName>
    <definedName name="Local77">Data!$AF$232</definedName>
    <definedName name="Local78">Data!$AF$233</definedName>
    <definedName name="Local79">Data!$AF$234:$AF$237</definedName>
    <definedName name="Local8">Data!$AF$39:$AF$45</definedName>
    <definedName name="Local80">Data!$AF$238</definedName>
    <definedName name="Local81">Data!$AF$239</definedName>
    <definedName name="Local82">Data!$AF$240</definedName>
    <definedName name="Local83">Data!$AF$241</definedName>
    <definedName name="Local84">Data!$AF$242</definedName>
    <definedName name="Local85">Data!$AF$243</definedName>
    <definedName name="Local86">Data!$AF$244</definedName>
    <definedName name="Local87">Data!$AF$245</definedName>
    <definedName name="Local88">Data!$AF$246</definedName>
    <definedName name="Local89">Data!$AF$247:$AF$256</definedName>
    <definedName name="Local9">Data!$AF$46:$AF$47</definedName>
    <definedName name="Local90">Data!$AF$257</definedName>
    <definedName name="Local91">Data!$AF$258</definedName>
    <definedName name="Local92">Data!$AF$259</definedName>
    <definedName name="Local93">Data!$AF$260</definedName>
    <definedName name="Local94">Data!$AF$261:$AF$264</definedName>
    <definedName name="Local95">Data!$AF$265:$AF$266</definedName>
    <definedName name="Local96">Data!$AF$267:$AF$269</definedName>
    <definedName name="Local97">Data!$AF$270:$AF$272</definedName>
    <definedName name="Local98">Data!$AF$273:$AF$274</definedName>
    <definedName name="Local99">Data!$AF$275:$AF$276</definedName>
    <definedName name="localityId">Data!$AE$2:$AE$609</definedName>
    <definedName name="localityName">Data!$AF$2:$AF$609</definedName>
    <definedName name="Location">Data!$K$2:$K$5</definedName>
    <definedName name="Location2020">Data!$K$9</definedName>
    <definedName name="Location2022">Data!$K$13:$K$17</definedName>
    <definedName name="LocationCode">Data!$L$2:$L$5</definedName>
    <definedName name="LocationCode2020">Data!$L$9</definedName>
    <definedName name="LocationCode2022">Data!$L$13:$L$17</definedName>
    <definedName name="LocationCodeJan2022">Data!$L$21:$L$25</definedName>
    <definedName name="LocationCodeJul2022">Data!$L$30:$L$35</definedName>
    <definedName name="locationCombo">E1_IDA_CA!$H$3:$H$4</definedName>
    <definedName name="LocationJan2022">Data!$K$21:$K$25</definedName>
    <definedName name="LocationJuly2022">Data!$K$30:$K$35</definedName>
    <definedName name="moduleId">Data!$A$21</definedName>
    <definedName name="MortgageIntDtls.ListS">J_Computation_of_Mortgage!$A$3:$G$4</definedName>
    <definedName name="MortgageIntDtls.ListSTO">J_Computation_of_Mortgage!$F$5</definedName>
    <definedName name="MortgageIntDtls.ListSTOAPRDEC">J_Computation_of_Mortgage!$F$7</definedName>
    <definedName name="MortgageIntDtls.ListSTOAPRDECLBL">J_Computation_of_Mortgage!$A$7</definedName>
    <definedName name="MortgageIntDtls.ListSTOJanDecSum">J_Computation_of_Mortgage!$G$6</definedName>
    <definedName name="MortgageIntDtls.ListSTOJANMAR">J_Computation_of_Mortgage!$F$6</definedName>
    <definedName name="MortgageIntDtls.ListSTOJANMARLBL">J_Computation_of_Mortgage!$A$6</definedName>
    <definedName name="MortgageIntDtls.ListW">J_Computation_of_Mortgage!$A$13:$G$14</definedName>
    <definedName name="MortgageIntDtls.ListWTO">J_Computation_of_Mortgage!$F$15</definedName>
    <definedName name="MortgageIntDtls.ListWTOAPRDEC">J_Computation_of_Mortgage!$F$17</definedName>
    <definedName name="MortgageIntDtls.ListWTOJanDecSum">J_Computation_of_Mortgage!$G$16</definedName>
    <definedName name="MortgageIntDtls.ListWTOJANMAR">J_Computation_of_Mortgage!$F$16</definedName>
    <definedName name="MortgageJanMar2020Self">T_Tax_Computation!$E$5</definedName>
    <definedName name="MortgageJanMar2020Wife">T_Tax_Computation!$E$6</definedName>
    <definedName name="natureOfIncome">Data!$C$2:$C$7</definedName>
    <definedName name="NatureOfPayment">Data!$A$29:$A$46</definedName>
    <definedName name="obligationId">Data!$A$23</definedName>
    <definedName name="officeVersion">Data!$A$25</definedName>
    <definedName name="PayeDed.ListS">M_Details_of_PAYE_Deducted!$A$3:$G$4</definedName>
    <definedName name="PayeDed.ListSTO">M_Details_of_PAYE_Deducted!$E$5</definedName>
    <definedName name="PayeDed.ListW">M_Details_of_PAYE_Deducted!$A$11:$G$12</definedName>
    <definedName name="PayeDed.ListWTO">M_Details_of_PAYE_Deducted!$E$13</definedName>
    <definedName name="PINofEmployerCarS">I_Computation_of_Car_Benefit!$A$3:$A$4</definedName>
    <definedName name="PINofEmployerCarW">I_Computation_of_Car_Benefit!$A$11:$A$12</definedName>
    <definedName name="PINofEmployerS">F_Employment_Income!$A$3:$A$4</definedName>
    <definedName name="PINofEmployerW">F_Employment_Income!$A$15:$A$16</definedName>
    <definedName name="PLA.AdministrativeExpenseS">B_Profit_Loss_Account_Self!$I$79</definedName>
    <definedName name="PLA.AdministrativeExpenseW">B_Profit_Loss_Account_Wife!$I$79</definedName>
    <definedName name="PLA.badDoubtfulDebtsBuss">[1]B_Profit_Loss_Account!$C$63</definedName>
    <definedName name="PLA.badDoubtfulDebtsFarm">[1]B_Profit_Loss_Account!$D$63</definedName>
    <definedName name="PLA.badDoubtfulDebtsInt">[1]B_Profit_Loss_Account!$F$63</definedName>
    <definedName name="PLA.badDoubtfulDebtsOth">[1]B_Profit_Loss_Account!$G$63</definedName>
    <definedName name="PLA.badDoubtfulDebtsRent">[1]B_Profit_Loss_Account!$E$63</definedName>
    <definedName name="PLA.BussIncomeDataS">B_Profit_Loss_Account_Self!$C$3:$C$110</definedName>
    <definedName name="PLA.BussIncomeDataW">B_Profit_Loss_Account_Wife!$C$3:$C$110</definedName>
    <definedName name="PLA.ClosingStockS">B_Profit_Loss_Account_Self!$I$29</definedName>
    <definedName name="PLA.ClosingStockW">B_Profit_Loss_Account_Wife!$I$29</definedName>
    <definedName name="PLA.CommIncomeDataS">B_Profit_Loss_Account_Self!$G$3:$G$110</definedName>
    <definedName name="PLA.CommIncomeDataW">B_Profit_Loss_Account_Wife!$G$3:$G$110</definedName>
    <definedName name="PLA.ConsolidateDataS">B_Profit_Loss_Account_Self!$I$3:$I$110</definedName>
    <definedName name="PLA.ConsolidateDataW">B_Profit_Loss_Account_Wife!$I$3:$I$110</definedName>
    <definedName name="PLA.deprAdminBuss">[1]B_Profit_Loss_Account!$C$79</definedName>
    <definedName name="PLA.deprAdminBussS">B_Profit_Loss_Account_Self!$C$80</definedName>
    <definedName name="PLA.deprAdminBussW">B_Profit_Loss_Account_Wife!$C$80</definedName>
    <definedName name="PLA.deprAdminCommS">B_Profit_Loss_Account_Self!$G$80</definedName>
    <definedName name="PLA.deprAdminCommW">B_Profit_Loss_Account_Wife!$G$80</definedName>
    <definedName name="PLA.deprAdminFarm">[1]B_Profit_Loss_Account!$D$79</definedName>
    <definedName name="PLA.deprAdminFarmS">B_Profit_Loss_Account_Self!$D$80</definedName>
    <definedName name="PLA.deprAdminFarmW">B_Profit_Loss_Account_Wife!$D$80</definedName>
    <definedName name="PLA.deprAdminInt">[1]B_Profit_Loss_Account!$F$79</definedName>
    <definedName name="PLA.deprAdminIntS">B_Profit_Loss_Account_Self!$F$80</definedName>
    <definedName name="PLA.deprAdminIntW">B_Profit_Loss_Account_Wife!$F$80</definedName>
    <definedName name="PLA.deprAdminOther">[1]B_Profit_Loss_Account!$G$79</definedName>
    <definedName name="PLA.deprAdminOtherS">B_Profit_Loss_Account_Self!$H$80</definedName>
    <definedName name="PLA.deprAdminOthW">B_Profit_Loss_Account_Wife!$H$80</definedName>
    <definedName name="PLA.deprAdminRental">[1]B_Profit_Loss_Account!$E$79</definedName>
    <definedName name="PLA.deprAdminRentS">B_Profit_Loss_Account_Self!$E$80</definedName>
    <definedName name="PLA.deprAdminRentW">B_Profit_Loss_Account_Wife!$E$80</definedName>
    <definedName name="PLA.deprBuss">[1]B_Profit_Loss_Account!$C$26</definedName>
    <definedName name="PLA.deprBussS">B_Profit_Loss_Account_Self!$C$26</definedName>
    <definedName name="PLA.deprBussW">B_Profit_Loss_Account_Wife!$C$26</definedName>
    <definedName name="PLA.deprCommS">B_Profit_Loss_Account_Self!$G$26</definedName>
    <definedName name="PLA.deprCommW">B_Profit_Loss_Account_Wife!$G$26</definedName>
    <definedName name="PLA.deprFarm">[1]B_Profit_Loss_Account!$D$26</definedName>
    <definedName name="PLA.deprFarmS">B_Profit_Loss_Account_Self!$D$26</definedName>
    <definedName name="PLA.deprFarmW">B_Profit_Loss_Account_Wife!$D$26</definedName>
    <definedName name="PLA.deprInt">[1]B_Profit_Loss_Account!$F$26</definedName>
    <definedName name="PLA.deprIntS">B_Profit_Loss_Account_Self!$F$26</definedName>
    <definedName name="PLA.deprIntW">B_Profit_Loss_Account_Wife!$F$26</definedName>
    <definedName name="PLA.deprOther">[1]B_Profit_Loss_Account!$G$26</definedName>
    <definedName name="PLA.deprOtherS">B_Profit_Loss_Account_Self!$H$26</definedName>
    <definedName name="PLA.deprOtherW">B_Profit_Loss_Account_Wife!$H$26</definedName>
    <definedName name="PLA.deprRent">[1]B_Profit_Loss_Account!$E$26</definedName>
    <definedName name="PLA.deprRentS">B_Profit_Loss_Account_Self!$E$26</definedName>
    <definedName name="PLA.deprRentW">B_Profit_Loss_Account_Wife!$E$26</definedName>
    <definedName name="PLA.EmploymentExpensesS">B_Profit_Loss_Account_Self!$I$85</definedName>
    <definedName name="PLA.EmploymentExpensesW">B_Profit_Loss_Account_Wife!$I$85</definedName>
    <definedName name="PLA.FarmIncomeDataS">B_Profit_Loss_Account_Self!$D$3:$D$110</definedName>
    <definedName name="PLA.FarmIncomeDataW">B_Profit_Loss_Account_Wife!$D$3:$D$110</definedName>
    <definedName name="PLA.finalTaxCarriedToBalanceSheetS">B_Profit_Loss_Account_Self!$I$109</definedName>
    <definedName name="PLA.finalTaxCarriedToBalanceSheetW">B_Profit_Loss_Account_Wife!$I$109</definedName>
    <definedName name="PLA.FinancialExpensesS">B_Profit_Loss_Account_Self!$I$96</definedName>
    <definedName name="PLA.FinancialExpensesW">B_Profit_Loss_Account_Wife!$I$96</definedName>
    <definedName name="PLA.GrossTurnoverBPConToS">B_Profit_Loss_Account_Self!$I$3</definedName>
    <definedName name="PLA.GrossTurnoverBPConToW">B_Profit_Loss_Account_Wife!$I$3</definedName>
    <definedName name="PLA.GrossTurnoverBPRentalToS">B_Profit_Loss_Account_Self!$E$3</definedName>
    <definedName name="PLA.GrossTurnoverBPRentalToW">B_Profit_Loss_Account_Wife!$E$3</definedName>
    <definedName name="PLA.GrossTurnoverBPRentTo">[2]B_Profit_Loss_Account!$E$3</definedName>
    <definedName name="PLA.IntIncomeDataS">B_Profit_Loss_Account_Self!$F$3:$F$110</definedName>
    <definedName name="PLA.IntIncomeDataW">B_Profit_Loss_Account_Wife!$F$3:$F$110</definedName>
    <definedName name="PLA.LossOnDisposalBuss">[1]B_Profit_Loss_Account!$C$80</definedName>
    <definedName name="PLA.LossOnDisposalBussS">B_Profit_Loss_Account_Self!$C$81</definedName>
    <definedName name="PLA.LossOnDisposalBussW">B_Profit_Loss_Account_Wife!$C$81</definedName>
    <definedName name="PLA.LossOnDisposalCommS">B_Profit_Loss_Account_Self!$G$81</definedName>
    <definedName name="PLA.LossOnDisposalCommW">B_Profit_Loss_Account_Wife!$G$81</definedName>
    <definedName name="PLA.LossOnDisposalFarm">[1]B_Profit_Loss_Account!$D$80</definedName>
    <definedName name="PLA.LossOnDisposalFarmS">B_Profit_Loss_Account_Self!$D$81</definedName>
    <definedName name="PLA.LossOnDisposalFarmW">B_Profit_Loss_Account_Wife!$D$81</definedName>
    <definedName name="PLA.LossOnDisposalInt">[1]B_Profit_Loss_Account!$F$80</definedName>
    <definedName name="PLA.LossOnDisposalIntS">B_Profit_Loss_Account_Self!$F$81</definedName>
    <definedName name="PLA.LossOnDisposalIntW">B_Profit_Loss_Account_Wife!$F$81</definedName>
    <definedName name="PLA.LossOnDisposalOther">[1]B_Profit_Loss_Account!$G$80</definedName>
    <definedName name="PLA.LossOnDisposalOtherS">B_Profit_Loss_Account_Self!$H$81</definedName>
    <definedName name="PLA.LossOnDisposalOthW">B_Profit_Loss_Account_Wife!$H$81</definedName>
    <definedName name="PLA.LossOnDisposalRental">[1]B_Profit_Loss_Account!$E$80</definedName>
    <definedName name="PLA.LossOnDisposalRentS">B_Profit_Loss_Account_Self!$E$81</definedName>
    <definedName name="PLA.LossOnDisposalRentW">B_Profit_Loss_Account_Wife!$E$81</definedName>
    <definedName name="PLA.OEBuss">[1]B_Profit_Loss_Account!$C$120</definedName>
    <definedName name="PLA.OEBussS">B_Profit_Loss_Account_Self!$C$119</definedName>
    <definedName name="PLA.OEBussW">B_Profit_Loss_Account_Wife!$C$119</definedName>
    <definedName name="PLA.OECommS">B_Profit_Loss_Account_Self!$G$119</definedName>
    <definedName name="PLA.OECommW">B_Profit_Loss_Account_Wife!$G$119</definedName>
    <definedName name="PLA.OEFarm">[1]B_Profit_Loss_Account!$D$120</definedName>
    <definedName name="PLA.OEFarmS">B_Profit_Loss_Account_Self!$D$119</definedName>
    <definedName name="PLA.OEFarmW">B_Profit_Loss_Account_Wife!$D$119</definedName>
    <definedName name="PLA.OEInt">[1]B_Profit_Loss_Account!$F$120</definedName>
    <definedName name="PLA.OEIntS">B_Profit_Loss_Account_Self!$F$119</definedName>
    <definedName name="PLA.OEIntW">B_Profit_Loss_Account_Wife!$F$119</definedName>
    <definedName name="PLA.OEOth">[1]B_Profit_Loss_Account!$G$120</definedName>
    <definedName name="PLA.OEOthS">B_Profit_Loss_Account_Self!$H$119</definedName>
    <definedName name="PLA.OEOthW">B_Profit_Loss_Account_Wife!$H$119</definedName>
    <definedName name="PLA.OERent">[1]B_Profit_Loss_Account!$E$120</definedName>
    <definedName name="PLA.OERentS">B_Profit_Loss_Account_Self!$E$119</definedName>
    <definedName name="PLA.OERentW">B_Profit_Loss_Account_Wife!$E$119</definedName>
    <definedName name="PLA.OIBussS">B_Profit_Loss_Account_Self!$C$128</definedName>
    <definedName name="PLA.OIBussW">B_Profit_Loss_Account_Wife!$C$128</definedName>
    <definedName name="PLA.OICommS">B_Profit_Loss_Account_Self!$G$128</definedName>
    <definedName name="PLA.OICommW">B_Profit_Loss_Account_Wife!$G$128</definedName>
    <definedName name="PLA.OIFarmS">B_Profit_Loss_Account_Self!$D$128</definedName>
    <definedName name="PLA.OIFarmW">B_Profit_Loss_Account_Wife!$D$128</definedName>
    <definedName name="PLA.OIIntS">B_Profit_Loss_Account_Self!$F$128</definedName>
    <definedName name="PLA.OIIntW">B_Profit_Loss_Account_Wife!$F$128</definedName>
    <definedName name="PLA.OIOthS">B_Profit_Loss_Account_Self!$H$128</definedName>
    <definedName name="PLA.OIOthW">B_Profit_Loss_Account_Wife!$H$128</definedName>
    <definedName name="PLA.OIRentS">B_Profit_Loss_Account_Self!$E$128</definedName>
    <definedName name="PLA.OIRentW">B_Profit_Loss_Account_Wife!$E$128</definedName>
    <definedName name="PLA.OpeningStockS">B_Profit_Loss_Account_Self!$I$8</definedName>
    <definedName name="PLA.OpeningStockW">B_Profit_Loss_Account_Wife!$I$8</definedName>
    <definedName name="PLA.OperatingExpenseS">B_Profit_Loss_Account_Self!$I$49</definedName>
    <definedName name="PLA.OperatingExpenseW">B_Profit_Loss_Account_Wife!$I$49</definedName>
    <definedName name="PLA.OtherDirectCostsS">B_Profit_Loss_Account_Self!$I$17</definedName>
    <definedName name="PLA.OtherDirectCostsW">B_Profit_Loss_Account_Wife!$I$17</definedName>
    <definedName name="PLA.OtherExpensesList">[1]B_Profit_Loss_Account!$B$114:$H$119</definedName>
    <definedName name="PLA.OtherExpensesListS">B_Profit_Loss_Account_Self!$B$114:$I$118</definedName>
    <definedName name="PLA.OtherExpensesListW">B_Profit_Loss_Account_Wife!$B$114:$I$118</definedName>
    <definedName name="PLA.OtherExpensesPartIS">B_Profit_Loss_Account_Self!$I$104</definedName>
    <definedName name="PLA.OtherExpensesPartIW">B_Profit_Loss_Account_Wife!$I$104</definedName>
    <definedName name="PLA.OtherIncomeListS">B_Profit_Loss_Account_Self!$B$123:$I$127</definedName>
    <definedName name="PLA.OtherIncomeListW">B_Profit_Loss_Account_Wife!$B$123:$I$127</definedName>
    <definedName name="PLA.OtherIncomeS">B_Profit_Loss_Account_Self!$I$36</definedName>
    <definedName name="PLA.OtherIncomeW">B_Profit_Loss_Account_Wife!$I$36</definedName>
    <definedName name="PLA.OthIncomeDataS">B_Profit_Loss_Account_Self!$H$3:$H$110</definedName>
    <definedName name="PLA.OthIncomeDataW">B_Profit_Loss_Account_Wife!$H$3:$H$110</definedName>
    <definedName name="PLA.OverHeadsS">B_Profit_Loss_Account_Self!$I$21</definedName>
    <definedName name="PLA.OverHeadsW">B_Profit_Loss_Account_Wife!$I$21</definedName>
    <definedName name="PLA.ProfitLossBeforeTax">[1]B_Profit_Loss_Account!$H$105</definedName>
    <definedName name="PLA.ProfitLossBeforeTaxBuss">[1]B_Profit_Loss_Account!$C$105</definedName>
    <definedName name="PLA.ProfitLossBeforeTaxBussS">B_Profit_Loss_Account_Self!$C$106</definedName>
    <definedName name="PLA.ProfitLossBeforeTaxBussW">B_Profit_Loss_Account_Wife!$C$106</definedName>
    <definedName name="PLA.ProfitLossBeforeTaxCommS">B_Profit_Loss_Account_Self!$G$106</definedName>
    <definedName name="PLA.ProfitLossBeforeTaxCommW">B_Profit_Loss_Account_Wife!$G$106</definedName>
    <definedName name="PLA.ProfitLossBeforeTaxFarm">[1]B_Profit_Loss_Account!$D$105</definedName>
    <definedName name="PLA.ProfitLossBeforeTaxFarmS">B_Profit_Loss_Account_Self!$D$106</definedName>
    <definedName name="PLA.ProfitLossBeforeTaxFarmW">B_Profit_Loss_Account_Wife!$D$106</definedName>
    <definedName name="PLA.ProfitLossBeforeTaxInt">[1]B_Profit_Loss_Account!$F$105</definedName>
    <definedName name="PLA.ProfitLossBeforeTaxIntS">B_Profit_Loss_Account_Self!$F$106</definedName>
    <definedName name="PLA.ProfitLossBeforeTaxIntW">B_Profit_Loss_Account_Wife!$F$106</definedName>
    <definedName name="PLA.ProfitLossBeforeTaxOther">[1]B_Profit_Loss_Account!$G$105</definedName>
    <definedName name="PLA.ProfitLossBeforeTaxOtherS">B_Profit_Loss_Account_Self!$H$106</definedName>
    <definedName name="PLA.ProfitLossBeforeTaxOtherW">B_Profit_Loss_Account_Wife!$H$106</definedName>
    <definedName name="PLA.ProfitLossBeforeTaxRent">[1]B_Profit_Loss_Account!$E$105</definedName>
    <definedName name="PLA.ProfitLossBeforeTaxRentS">B_Profit_Loss_Account_Self!$E$106</definedName>
    <definedName name="PLA.ProfitLossBeforeTaxRentW">B_Profit_Loss_Account_Wife!$E$106</definedName>
    <definedName name="PLA.ProfitLossBeforeTaxS">B_Profit_Loss_Account_Self!$I$106</definedName>
    <definedName name="PLA.ProfitLossBeforeTaxW">B_Profit_Loss_Account_Wife!$I$106</definedName>
    <definedName name="PLA.profitOnDispAstBuss">[1]B_Profit_Loss_Account!$C$42</definedName>
    <definedName name="PLA.profitOnDispAstFarm">[1]B_Profit_Loss_Account!$D$42</definedName>
    <definedName name="PLA.profitOnDispAstInt">[1]B_Profit_Loss_Account!$F$42</definedName>
    <definedName name="PLA.profitOnDispAstOth">[1]B_Profit_Loss_Account!$G$42</definedName>
    <definedName name="PLA.profitOnDispAstRent">[1]B_Profit_Loss_Account!$E$42</definedName>
    <definedName name="PLA.ProfitOnDisposalOfAssetsBussS">B_Profit_Loss_Account_Self!$C$42</definedName>
    <definedName name="PLA.ProfitOnDisposalOfAssetsBussW">B_Profit_Loss_Account_Wife!$C$42</definedName>
    <definedName name="PLA.ProfitOnDisposalOfAssetsCommS">B_Profit_Loss_Account_Self!$G$42</definedName>
    <definedName name="PLA.ProfitOnDisposalOfAssetsCommW">B_Profit_Loss_Account_Wife!$G$42</definedName>
    <definedName name="PLA.ProfitOnDisposalOfAssetsFarmS">B_Profit_Loss_Account_Self!$D$42</definedName>
    <definedName name="PLA.ProfitOnDisposalOfAssetsFarmW">B_Profit_Loss_Account_Wife!$D$42</definedName>
    <definedName name="PLA.ProfitOnDisposalOfAssetsIntS">B_Profit_Loss_Account_Self!$F$42</definedName>
    <definedName name="PLA.ProfitOnDisposalOfAssetsIntW">B_Profit_Loss_Account_Wife!$F$42</definedName>
    <definedName name="PLA.ProfitOnDisposalOfAssetsOtherW">B_Profit_Loss_Account_Wife!$H$42</definedName>
    <definedName name="PLA.ProfitOnDisposalOfAssetsOthS">B_Profit_Loss_Account_Self!$H$42</definedName>
    <definedName name="PLA.ProfitOnDisposalOfAssetsRentS">B_Profit_Loss_Account_Self!$E$42</definedName>
    <definedName name="PLA.ProfitOnDisposalOfAssetsRentW">B_Profit_Loss_Account_Wife!$E$42</definedName>
    <definedName name="PLA.ProvBadDebtsBussS">B_Profit_Loss_Account_Self!$C$64</definedName>
    <definedName name="PLA.ProvBadDebtsBussW">B_Profit_Loss_Account_Wife!$C$64</definedName>
    <definedName name="PLA.ProvBadDebtsCommS">B_Profit_Loss_Account_Self!$G$64</definedName>
    <definedName name="PLA.ProvBadDebtsCommW">B_Profit_Loss_Account_Wife!$G$64</definedName>
    <definedName name="PLA.ProvBadDebtsFarmS">B_Profit_Loss_Account_Self!$D$64</definedName>
    <definedName name="PLA.ProvBadDebtsFarmW">B_Profit_Loss_Account_Wife!$D$64</definedName>
    <definedName name="PLA.ProvBadDebtsIntS">B_Profit_Loss_Account_Self!$F$64</definedName>
    <definedName name="PLA.ProvBadDebtsIntW">B_Profit_Loss_Account_Wife!$F$64</definedName>
    <definedName name="PLA.ProvBadDebtsOtherW">B_Profit_Loss_Account_Wife!$H$64</definedName>
    <definedName name="PLA.ProvBadDebtsOthS">B_Profit_Loss_Account_Self!$H$64</definedName>
    <definedName name="PLA.ProvBadDebtsRentS">B_Profit_Loss_Account_Self!$E$64</definedName>
    <definedName name="PLA.ProvBadDebtsRentW">B_Profit_Loss_Account_Wife!$E$64</definedName>
    <definedName name="PLA.PurchasesS">B_Profit_Loss_Account_Self!$I$13</definedName>
    <definedName name="PLA.PurchasesW">B_Profit_Loss_Account_Wife!$I$13</definedName>
    <definedName name="PLA.RentEmployeeS">B_Profit_Loss_Account_Self!$I$91</definedName>
    <definedName name="PLA.RentEmployeeW">B_Profit_Loss_Account_Wife!$I$91</definedName>
    <definedName name="PLA.RentIncomeDataS">B_Profit_Loss_Account_Self!$E$3:$E$110</definedName>
    <definedName name="PLA.RentIncomeDataW">B_Profit_Loss_Account_Wife!$E$3:$E$110</definedName>
    <definedName name="PLA.rentPartI">[1]B_Profit_Loss_Account!$H$64</definedName>
    <definedName name="PLA.rentPartII">[1]B_Profit_Loss_Account!$H$90</definedName>
    <definedName name="PLA.RentPermisesS">B_Profit_Loss_Account_Self!$I$65</definedName>
    <definedName name="PLA.RentPermisesW">B_Profit_Loss_Account_Wife!$I$65</definedName>
    <definedName name="PLA.startupCostBussS">B_Profit_Loss_Account_Self!$C$70</definedName>
    <definedName name="PLA.startupCostBussW">B_Profit_Loss_Account_Wife!$C$70</definedName>
    <definedName name="PLA.startupCostCommS">B_Profit_Loss_Account_Self!$G$70</definedName>
    <definedName name="PLA.startupCostCommW">B_Profit_Loss_Account_Wife!$G$70</definedName>
    <definedName name="PLA.startupCostFarmS">B_Profit_Loss_Account_Self!$D$70</definedName>
    <definedName name="PLA.startupCostFarmW">B_Profit_Loss_Account_Wife!$D$70</definedName>
    <definedName name="PLA.startupCostIntS">B_Profit_Loss_Account_Self!$F$70</definedName>
    <definedName name="PLA.startupCostIntW">B_Profit_Loss_Account_Wife!$F$70</definedName>
    <definedName name="PLA.startupCostOthS">B_Profit_Loss_Account_Self!$H$70</definedName>
    <definedName name="PLA.startupCostOthW">B_Profit_Loss_Account_Wife!$H$70</definedName>
    <definedName name="PLA.startupCostRentS">B_Profit_Loss_Account_Self!$E$70</definedName>
    <definedName name="PLA.startupCostRentW">B_Profit_Loss_Account_Wife!$E$70</definedName>
    <definedName name="PLA.unrealizedExchGainBuss">[1]B_Profit_Loss_Account!$C$44</definedName>
    <definedName name="PLA.unrealizedExchGainBussS">B_Profit_Loss_Account_Self!$C$44</definedName>
    <definedName name="PLA.unrealizedExchGainBussW">B_Profit_Loss_Account_Wife!$C$44</definedName>
    <definedName name="PLA.unrealizedExchGainCommS">B_Profit_Loss_Account_Self!$G$44</definedName>
    <definedName name="PLA.unrealizedExchGainCommW">B_Profit_Loss_Account_Wife!$G$44</definedName>
    <definedName name="PLA.unrealizedExchGainFarm">[1]B_Profit_Loss_Account!$D$44</definedName>
    <definedName name="PLA.unrealizedExchGainFarmS">B_Profit_Loss_Account_Self!$D$44</definedName>
    <definedName name="PLA.unrealizedExchGainFarmW">B_Profit_Loss_Account_Wife!$D$44</definedName>
    <definedName name="PLA.unrealizedExchGainInt">[1]B_Profit_Loss_Account!$F$44</definedName>
    <definedName name="PLA.unrealizedExchGainIntS">B_Profit_Loss_Account_Self!$F$44</definedName>
    <definedName name="PLA.unrealizedExchGainIntW">B_Profit_Loss_Account_Wife!$F$44</definedName>
    <definedName name="PLA.unrealizedExchGainOth">[1]B_Profit_Loss_Account!$G$44</definedName>
    <definedName name="PLA.unrealizedExchGainOtherW">B_Profit_Loss_Account_Wife!$H$44</definedName>
    <definedName name="PLA.unrealizedExchGainOthS">B_Profit_Loss_Account_Self!$H$44</definedName>
    <definedName name="PLA.unrealizedExchGainRent">[1]B_Profit_Loss_Account!$E$44</definedName>
    <definedName name="PLA.unrealizedExchGainRentS">B_Profit_Loss_Account_Self!$E$44</definedName>
    <definedName name="PLA.unrealizedExchGainRentW">B_Profit_Loss_Account_Wife!$E$44</definedName>
    <definedName name="PLA.unrealizedExchLossBuss">[1]B_Profit_Loss_Account!$C$101</definedName>
    <definedName name="PLA.unrealizedExchLossBussS">B_Profit_Loss_Account_Self!$C$102</definedName>
    <definedName name="PLA.unrealizedExchLossBussW">B_Profit_Loss_Account_Wife!$C$102</definedName>
    <definedName name="PLA.unrealizedExchLossCommS">B_Profit_Loss_Account_Self!$G$102</definedName>
    <definedName name="PLA.unrealizedExchLossCommW">B_Profit_Loss_Account_Wife!$G$102</definedName>
    <definedName name="PLA.unrealizedExchLossFarm">[1]B_Profit_Loss_Account!$D$101</definedName>
    <definedName name="PLA.unrealizedExchLossFarmS">B_Profit_Loss_Account_Self!$D$102</definedName>
    <definedName name="PLA.unrealizedExchLossFarmW">B_Profit_Loss_Account_Wife!$D$102</definedName>
    <definedName name="PLA.unrealizedExchLossInt">[1]B_Profit_Loss_Account!$F$101</definedName>
    <definedName name="PLA.unrealizedExchLossIntS">B_Profit_Loss_Account_Self!$F$102</definedName>
    <definedName name="PLA.unrealizedExchLossIntW">B_Profit_Loss_Account_Wife!$F$102</definedName>
    <definedName name="PLA.unrealizedExchLossOth">[1]B_Profit_Loss_Account!$G$101</definedName>
    <definedName name="PLA.unrealizedExchLossOthS">B_Profit_Loss_Account_Self!$H$102</definedName>
    <definedName name="PLA.unrealizedExchLossOthW">B_Profit_Loss_Account_Wife!$H$102</definedName>
    <definedName name="PLA.unrealizedExchLossRent">[1]B_Profit_Loss_Account!$E$101</definedName>
    <definedName name="PLA.unrealizedExchLossRentS">B_Profit_Loss_Account_Self!$E$102</definedName>
    <definedName name="PLA.unrealizedExchLossRentW">B_Profit_Loss_Account_Wife!$E$102</definedName>
    <definedName name="PolicyCode">Data!$B$14:$B$16</definedName>
    <definedName name="PolicyCode2022">Data!$B$489:$B$492</definedName>
    <definedName name="PolicyHolder">Data!$C$14:$C$16</definedName>
    <definedName name="PolicyHolderCode">Data!$D$14:$D$16</definedName>
    <definedName name="PostalCode">Data!$M$2:$M$1023</definedName>
    <definedName name="PostalCodesSorted">Data!$R$2:$R$1023</definedName>
    <definedName name="ProfitShare.ListS">G_Partnership_Income!$A$3:$K$4</definedName>
    <definedName name="ProfitShare.ListSTO">G_Partnership_Income!$I$5</definedName>
    <definedName name="ProfitShare.ListW">G_Partnership_Income!$A$11:$K$12</definedName>
    <definedName name="ProfitShare.ListWTO">G_Partnership_Income!$I$13</definedName>
    <definedName name="PurposeOfPolicy">Data!$A$14:$A$16</definedName>
    <definedName name="PurposeOfPolicy2022">Data!$A$489:$A$492</definedName>
    <definedName name="RentalIncome.List">[1]A_Basic_Info!$A$48:$T$49</definedName>
    <definedName name="RentalIncome.ListS">A_Basic_Info!$A$52:$U$53</definedName>
    <definedName name="RentalIncome.ListSTO">A_Basic_Info!$P$54</definedName>
    <definedName name="RentalIncome.ListTO">[1]A_Basic_Info!$P$50</definedName>
    <definedName name="RentalIncome.ListW">A_Basic_Info!$A$61:$U$62</definedName>
    <definedName name="RentalIncome.ListWTO">A_Basic_Info!$P$63</definedName>
    <definedName name="RentPaid.GrossRentalIncomePartI">[1]A_Basic_Info!$P$42</definedName>
    <definedName name="RentPaid.GrossRentalIncomeS">A_Basic_Info!$P$38</definedName>
    <definedName name="RentPaid.GrossRentalIncomeW">A_Basic_Info!$P$47</definedName>
    <definedName name="RentPaid.RentList">[1]A_Basic_Info!$A$40:$T$41</definedName>
    <definedName name="RentPaid.RentListS">A_Basic_Info!$A$36:$U$37</definedName>
    <definedName name="RentPaid.RentListW">A_Basic_Info!$A$45:$U$46</definedName>
    <definedName name="rentType">Data!$T$2:$T$3</definedName>
    <definedName name="rentTypeCode">Data!$U$2:$U$3</definedName>
    <definedName name="ResidentStatus">[1]Data!$D$75:$D$76</definedName>
    <definedName name="RetInf.auditStartDate">A_Basic_Info!$D$18</definedName>
    <definedName name="RetInf.CntryRednce">[1]A_Basic_Info!$B$23</definedName>
    <definedName name="RetInf.dateforAuditCertificate">A_Basic_Info!$C$18</definedName>
    <definedName name="RetInf.dateforAuditStartDt">A_Basic_Info!$C$18</definedName>
    <definedName name="RetInf.DeclareExemptionCerti">A_Basic_Info!$B$16</definedName>
    <definedName name="RetInf.DeclareSelfBusIncome">A_Basic_Info!$B$7</definedName>
    <definedName name="RetInf.DeclareSelfBusIncomeCode">A_Basic_Info!$C$7</definedName>
    <definedName name="RetInf.DeclareWifeBusIncome">A_Basic_Info!$B$19</definedName>
    <definedName name="RetInf.DeclareWifeBusIncomeCode">A_Basic_Info!$C$19</definedName>
    <definedName name="RetInf.DeclareWifeExemptionCerti">A_Basic_Info!$B$20</definedName>
    <definedName name="RetInf.DeclareWifeIncome">A_Basic_Info!$B$17</definedName>
    <definedName name="RetInf.DepositStartDate">A_Basic_Info!$D$4</definedName>
    <definedName name="RetInf.EffectvLstDate">[1]A_Basic_Info!$B$14</definedName>
    <definedName name="RetInf.EighthLastYear">A_Basic_Info!$G$4</definedName>
    <definedName name="RetInf.EnterprsName">[1]A_Basic_Info!$B$22</definedName>
    <definedName name="RetInf.EntityType">[1]A_Basic_Info!$B$5</definedName>
    <definedName name="RetInf.EPZEffectvDate">[1]A_Basic_Info!$B$12</definedName>
    <definedName name="RetInf.EPZEffeDate">[1]A_Basic_Info!$B$11</definedName>
    <definedName name="RetInf.FifthLastYear">A_Basic_Info!$H$3</definedName>
    <definedName name="RetInf.FourthLastYear">A_Basic_Info!$G$3</definedName>
    <definedName name="RetInf.IsCmpRsdnt">[1]A_Basic_Info!$B$9</definedName>
    <definedName name="RetInf.IsCmpRsdntCode">[2]A_Basic_Info!$C$8</definedName>
    <definedName name="RetInf.ISEPZComp">[1]A_Basic_Info!$B$10</definedName>
    <definedName name="RetInf.ISEPZCompCode">[1]A_Basic_Info!$C$10</definedName>
    <definedName name="RetInf.IsEstateTrust">[1]A_Basic_Info!$B$8</definedName>
    <definedName name="RetInf.KenyaOutsideYN">[1]A_Basic_Info!$B$21</definedName>
    <definedName name="RetInf.KenyaOutsideYNCode">[1]A_Basic_Info!$C$21</definedName>
    <definedName name="RetInf.LastYear">A_Basic_Info!$D$3</definedName>
    <definedName name="RetInf.Month">[1]A_Basic_Info!$B$6</definedName>
    <definedName name="RetInf.MonthDesc">A_Basic_Info!$F$19</definedName>
    <definedName name="RetInf.NinthLastYear">A_Basic_Info!$H$4</definedName>
    <definedName name="RetInf.NwListed">[1]A_Basic_Info!$B$13</definedName>
    <definedName name="RetInf.NwListedCode">[1]A_Basic_Info!$C$13</definedName>
    <definedName name="RetInf.PIN">A_Basic_Info!$B$3</definedName>
    <definedName name="RetInf.RetEndDate">A_Basic_Info!$B$6</definedName>
    <definedName name="RetInf.RetPeriodFrm">[1]A_Basic_Info!$D$7</definedName>
    <definedName name="RetInf.RetPeriodTo">E1_IDA_CA!$N$6</definedName>
    <definedName name="RetInf.RetStartDate">A_Basic_Info!$B$5</definedName>
    <definedName name="RetInf.RetType">A_Basic_Info!$B$4</definedName>
    <definedName name="RetInf.ReturnToDay">A_Basic_Info!$E$18</definedName>
    <definedName name="RetInf.ReturnToDayStr">A_Basic_Info!$F$18</definedName>
    <definedName name="RetInf.RtnPrdToAct">A_Basic_Info!$C$6</definedName>
    <definedName name="RetInf.RtnPrdToActStart">A_Basic_Info!$C$5</definedName>
    <definedName name="RetInf.SecLastYear">A_Basic_Info!$E$3</definedName>
    <definedName name="RetInf.SeventhLastYear">A_Basic_Info!$F$4</definedName>
    <definedName name="RetInf.SixthLastYear">A_Basic_Info!$E$4</definedName>
    <definedName name="RetInf.SpousePIN">A_Basic_Info!$B$18</definedName>
    <definedName name="RetInf.ThirdLastYear">A_Basic_Info!$F$3</definedName>
    <definedName name="RetInf.YearIncome">A_Basic_Info!$E$21</definedName>
    <definedName name="ReturnType">Data!$D$19:$D$20</definedName>
    <definedName name="RtnInf.MonthCode">A_Basic_Info!$E$19</definedName>
    <definedName name="RtnInf.shareYear1">[1]A_Basic_Info!$B$15</definedName>
    <definedName name="RtnInf.shareYear2">[1]A_Basic_Info!$B$16</definedName>
    <definedName name="RtnInf.shareYear3">[1]A_Basic_Info!$B$17</definedName>
    <definedName name="RtnInf.shareYear4">[1]A_Basic_Info!$B$18</definedName>
    <definedName name="RtnInf.shareYear5">[1]A_Basic_Info!$B$19</definedName>
    <definedName name="RtnInf.shareYear6">[1]A_Basic_Info!$B$20</definedName>
    <definedName name="RtnYear">Data!$A$49:$A$71</definedName>
    <definedName name="searchBankRange">Data!$C$1023:$C$1068</definedName>
    <definedName name="searchBranchRange">Data!$H$1023:$H$1068</definedName>
    <definedName name="searchDistrictRange">Data!$Q$2:$Q$48</definedName>
    <definedName name="searchLocalName">Data!$Z$2:$Z$215</definedName>
    <definedName name="SecA.RtnYear">A_Basic_Info!$D$5</definedName>
    <definedName name="selectedBranchNames">Data!$AY$2</definedName>
    <definedName name="SortedDeclareIncomeYN">Data!$F$24:$F$25</definedName>
    <definedName name="sourceOfIncome">Data!$V$2:$V$7</definedName>
    <definedName name="sourceOfIncomeCode">Data!$W$2:$W$7</definedName>
    <definedName name="TaxComp.AllBuss">[1]K_Tax_Computation!$C$57</definedName>
    <definedName name="TaxComp.AllFarm">[1]K_Tax_Computation!$D$57</definedName>
    <definedName name="TaxComp.AllInt">[1]K_Tax_Computation!$F$57</definedName>
    <definedName name="TaxComp.AllItemList">[1]K_Tax_Computation!$B$50:$H$56</definedName>
    <definedName name="TaxComp.AllOth">[1]K_Tax_Computation!$G$57</definedName>
    <definedName name="TaxComp.AllRent">[1]K_Tax_Computation!$E$57</definedName>
    <definedName name="TaxComp.BussinessListS">T_Income_Computation_Self!$C$3:$C$36</definedName>
    <definedName name="TaxComp.BussinessListW">T_Income_Computation_Wife!$C$3:$C$36</definedName>
    <definedName name="TaxComp.BUSSLossCurrentYrIncome">[2]L_Tax_Computation!$C$32</definedName>
    <definedName name="TaxComp.BUSSLossCurrentYrIncomeS">T_Income_Computation_Self!$C$33</definedName>
    <definedName name="TaxComp.BUSSLossCurrentYrIncomeW">T_Income_Computation_Wife!$C$33</definedName>
    <definedName name="TaxComp.BussTaxblIncome">[1]K_Tax_Computation!$C$31</definedName>
    <definedName name="TaxComp.chargeableIncomePartS">T_Income_Computation_Self!$I$31</definedName>
    <definedName name="TaxComp.chargeableIncomePartW">T_Income_Computation_Wife!$I$31</definedName>
    <definedName name="TaxComp.ChargeableIncomeS">T_Income_Computation_Self!$I$34</definedName>
    <definedName name="TaxComp.ChargeableIncomeW">T_Income_Computation_Wife!$I$34</definedName>
    <definedName name="TaxComp.CnslListS">T_Income_Computation_Self!$I$3:$I$36</definedName>
    <definedName name="TaxComp.CnslListW">T_Income_Computation_Wife!$I$3:$I$36</definedName>
    <definedName name="TaxComp.CommListS">T_Income_Computation_Self!$G$3:$G$36</definedName>
    <definedName name="TaxComp.CommListW">T_Income_Computation_Wife!$G$3:$G$36</definedName>
    <definedName name="TaxComp.COMMLossCurrentYrIncomeS">T_Income_Computation_Self!$G$33</definedName>
    <definedName name="TaxComp.COMMLossCurrentYrIncomeW">T_Income_Computation_Wife!$G$33</definedName>
    <definedName name="TaxComp.EmpIncomeListSTO">T_Tax_Computation!$C$11</definedName>
    <definedName name="TaxComp.EmpIncomeListWTO">T_Tax_Computation!$D$11</definedName>
    <definedName name="TaxComp.EstateTrustListTOS">T_Tax_Computation!$C$23</definedName>
    <definedName name="TaxComp.EstateTrustListTOW">T_Tax_Computation!$D$23</definedName>
    <definedName name="TaxComp.ExemptedAmtS">T_Tax_Computation!$C$13</definedName>
    <definedName name="TaxComp.ExemptedAmtSAprDec">T_Tax_Computation!$E$14</definedName>
    <definedName name="TaxComp.ExemptedAmtSJanMar">T_Tax_Computation!$E$13</definedName>
    <definedName name="TaxComp.ExemptedAmtW">T_Tax_Computation!$D$13</definedName>
    <definedName name="TaxComp.ExemptedAmtWAprDec">T_Tax_Computation!$E$16</definedName>
    <definedName name="TaxComp.ExemptedAmtWJanMar">T_Tax_Computation!$E$15</definedName>
    <definedName name="TaxComp.FarmListS">T_Income_Computation_Self!$D$3:$D$36</definedName>
    <definedName name="TaxComp.FarmListW">T_Income_Computation_Wife!$D$3:$D$36</definedName>
    <definedName name="TaxComp.FARMLossCurrentYrIncome">[2]L_Tax_Computation!$D$32</definedName>
    <definedName name="TaxComp.FARMLossCurrentYrIncomeS">T_Income_Computation_Self!$D$33</definedName>
    <definedName name="TaxComp.FARMLossCurrentYrIncomeW">T_Income_Computation_Wife!$D$33</definedName>
    <definedName name="TaxComp.FarmTaxblIncome">[1]K_Tax_Computation!$D$31</definedName>
    <definedName name="TaxComp.HomeOwnershipSavingPlanListSTO">T_Tax_Computation!$C$7</definedName>
    <definedName name="TaxComp.HomeOwnershipSavingPlanListWTO">T_Tax_Computation!$D$7</definedName>
    <definedName name="TaxComp.IncomeDTACreditsS">T_Tax_Computation!$C$28</definedName>
    <definedName name="TaxComp.IncomeDTACreditsW">T_Tax_Computation!$D$28</definedName>
    <definedName name="TaxComp.IncomePaidAdvanceListSTO">T_Tax_Computation!$C$27</definedName>
    <definedName name="TaxComp.IncomePaidAdvanceListWTO">T_Tax_Computation!$D$27</definedName>
    <definedName name="TaxComp.InsReliefDtlsListSTO">T_Tax_Computation!$C$19</definedName>
    <definedName name="TaxComp.InsReliefDtlsListWTO">T_Tax_Computation!$D$19</definedName>
    <definedName name="TaxComp.InstallmentTaxListSTO">T_Tax_Computation!$C$24</definedName>
    <definedName name="TaxComp.InstallmentTaxListTO">[2]L_Tax_Computation!$C$75</definedName>
    <definedName name="TaxComp.InstallmentTaxListWTO">T_Tax_Computation!$D$24</definedName>
    <definedName name="TaxComp.InterestTaxblIncome">[1]K_Tax_Computation!$F$31</definedName>
    <definedName name="TaxComp.IntListS">T_Income_Computation_Self!$F$3:$F$36</definedName>
    <definedName name="TaxComp.IntListW">T_Income_Computation_Wife!$F$3:$F$36</definedName>
    <definedName name="TaxComp.INTLossCurrentYrIncome">[2]L_Tax_Computation!$F$32</definedName>
    <definedName name="TaxComp.INTRLossCurrentYrIncomeS">T_Income_Computation_Self!$F$33</definedName>
    <definedName name="TaxComp.INTRLossCurrentYrIncomeW">T_Income_Computation_Wife!$F$33</definedName>
    <definedName name="TaxComp.LossConsdnCurrentYrIncome">[1]K_Tax_Computation!$H$32</definedName>
    <definedName name="TaxComp.Mortgage">T_Tax_Computation!$B$6</definedName>
    <definedName name="TaxComp.MortgageIntDtlsListSTO">T_Tax_Computation!$C$6</definedName>
    <definedName name="TaxComp.MRI">T_Tax_Computation!$C$29</definedName>
    <definedName name="TaxComp.MRIWTO">T_Tax_Computation!$D$29</definedName>
    <definedName name="TaxComp.NetTaxableEmpIncomeSJanDec">T_Tax_Computation!$E$11</definedName>
    <definedName name="TaxComp.NetTaxableEmpIncomeWJanDec">T_Tax_Computation!$E$12</definedName>
    <definedName name="TaxComp.NetTaxableIncomeS">T_Tax_Computation!$C$14</definedName>
    <definedName name="TaxComp.NetTaxableIncomeW">T_Tax_Computation!$D$14</definedName>
    <definedName name="TaxComp.NonAllBuss">[1]K_Tax_Computation!$C$46</definedName>
    <definedName name="TaxComp.NonAllFarm">[1]K_Tax_Computation!$D$46</definedName>
    <definedName name="TaxComp.NonAllInt">[1]K_Tax_Computation!$F$46</definedName>
    <definedName name="TaxComp.NonAllItemList">[1]K_Tax_Computation!$B$39:$H$45</definedName>
    <definedName name="TaxComp.NonAllOth">[1]K_Tax_Computation!$G$46</definedName>
    <definedName name="TaxComp.NonAllRent">[1]K_Tax_Computation!$E$46</definedName>
    <definedName name="TaxComp.ODBussS">T_Income_Computation_Self!$C$56</definedName>
    <definedName name="TaxComp.ODBussW">T_Income_Computation_Wife!$C$54</definedName>
    <definedName name="TaxComp.ODCommS">T_Income_Computation_Self!$G$56</definedName>
    <definedName name="TaxComp.ODCommW">T_Income_Computation_Wife!$G$54</definedName>
    <definedName name="TaxComp.ODFarmS">T_Income_Computation_Self!$D$56</definedName>
    <definedName name="TaxComp.ODFarmW">T_Income_Computation_Wife!$D$54</definedName>
    <definedName name="TaxComp.ODIntS">T_Income_Computation_Self!$F$56</definedName>
    <definedName name="TaxComp.ODIntW">T_Income_Computation_Wife!$F$54</definedName>
    <definedName name="TaxComp.ODOthS">T_Income_Computation_Self!$H$56</definedName>
    <definedName name="TaxComp.ODOthW">T_Income_Computation_Wife!$H$54</definedName>
    <definedName name="TaxComp.ODRentS">T_Income_Computation_Self!$E$56</definedName>
    <definedName name="TaxComp.ODRentW">T_Income_Computation_Wife!$E$54</definedName>
    <definedName name="TaxComp.OEBussS">T_Income_Computation_Self!$C$45</definedName>
    <definedName name="TaxComp.OEBussW">T_Income_Computation_Wife!$C$44</definedName>
    <definedName name="TaxComp.OECommS">T_Income_Computation_Self!$G$45</definedName>
    <definedName name="TaxComp.OECommW">T_Income_Computation_Wife!$G$44</definedName>
    <definedName name="TaxComp.OEFarmS">T_Income_Computation_Self!$D$45</definedName>
    <definedName name="TaxComp.OEFarmW">T_Income_Computation_Wife!$D$44</definedName>
    <definedName name="TaxComp.OEIntS">T_Income_Computation_Self!$F$45</definedName>
    <definedName name="TaxComp.OEIntW">T_Income_Computation_Wife!$F$44</definedName>
    <definedName name="TaxComp.OEOthS">T_Income_Computation_Self!$H$45</definedName>
    <definedName name="TaxComp.OEOthW">T_Income_Computation_Wife!$H$44</definedName>
    <definedName name="TaxComp.OERentS">T_Income_Computation_Self!$E$45</definedName>
    <definedName name="TaxComp.OERentW">T_Income_Computation_Wife!$E$44</definedName>
    <definedName name="TaxComp.OthDedListS">T_Income_Computation_Self!$B$50:$I$55</definedName>
    <definedName name="TaxComp.OthDedListW">T_Income_Computation_Wife!$B$49:$I$53</definedName>
    <definedName name="TaxComp.OtherTaxblIncome">[1]K_Tax_Computation!$G$31</definedName>
    <definedName name="TaxComp.OthExpListS">T_Income_Computation_Self!$B$39:$I$44</definedName>
    <definedName name="TaxComp.OthExpListW">T_Income_Computation_Wife!$B$39:$I$43</definedName>
    <definedName name="TaxComp.OthListS">T_Income_Computation_Self!$H$3:$H$36</definedName>
    <definedName name="TaxComp.OthListW">T_Income_Computation_Wife!$H$3:$H$36</definedName>
    <definedName name="TaxComp.OTHRLossCurrentYrIncome">[2]L_Tax_Computation!$G$32</definedName>
    <definedName name="TaxComp.OTHRLossCurrentYrIncomeS">T_Income_Computation_Self!$H$33</definedName>
    <definedName name="TaxComp.OTHRLossCurrentYrIncomeW">T_Income_Computation_Wife!$H$33</definedName>
    <definedName name="TaxComp.PayeDedListSTO">T_Tax_Computation!$C$22</definedName>
    <definedName name="TaxComp.PayeDedListWTO">T_Tax_Computation!$D$22</definedName>
    <definedName name="TaxComp.PersonalReliefS">T_Tax_Computation!$C$18</definedName>
    <definedName name="TaxComp.PersonalReliefW">T_Tax_Computation!$D$18</definedName>
    <definedName name="TaxComp.RentListS">T_Income_Computation_Self!$E$3:$E$36</definedName>
    <definedName name="TaxComp.RentListW">T_Income_Computation_Wife!$E$3:$E$36</definedName>
    <definedName name="TaxComp.RENTLossCurrentYrIncome">[2]L_Tax_Computation!$E$32</definedName>
    <definedName name="TaxComp.RENTLossCurrentYrIncomeS">T_Income_Computation_Self!$E$33</definedName>
    <definedName name="TaxComp.RENTLossCurrentYrIncomeW">T_Income_Computation_Wife!$E$33</definedName>
    <definedName name="TaxComp.RentTaxblIncome">[1]K_Tax_Computation!$E$31</definedName>
    <definedName name="TaxComp.TaxbleIncomeEstateS">T_Tax_Computation!$C$12</definedName>
    <definedName name="TaxComp.TaxbleIncomeEstateW">T_Tax_Computation!$D$12</definedName>
    <definedName name="TaxComp.TaxPayableS">T_Tax_Computation!$C$15</definedName>
    <definedName name="TaxComp.TaxPayableSAprDec">T_Tax_Computation!$C$17</definedName>
    <definedName name="TaxComp.TaxPayableSAprDecLbl">T_Tax_Computation!$B$17</definedName>
    <definedName name="TaxComp.TaxPayableSJanMar">T_Tax_Computation!$C$16</definedName>
    <definedName name="TaxComp.TaxPayableSJanMarLbl">T_Tax_Computation!$B$16</definedName>
    <definedName name="TaxComp.TaxPayableW">T_Tax_Computation!$D$15</definedName>
    <definedName name="TaxComp.TaxPayableWAprDec">T_Tax_Computation!$D$17</definedName>
    <definedName name="TaxComp.TaxPayableWJanMar">T_Tax_Computation!$D$16</definedName>
    <definedName name="TaxComp.TotalConsdnTaxblIncome">[1]K_Tax_Computation!$H$31</definedName>
    <definedName name="TaxComp.TotalTaxableIncome">[1]K_Tax_Computation!$H$33</definedName>
    <definedName name="TaxComp.TotTaxableIncomeLessRlfS">T_Tax_Computation!$C$9</definedName>
    <definedName name="TaxComp.TotTaxableIncomeLessRlfW">T_Tax_Computation!$D$9</definedName>
    <definedName name="TaxComp.VehicleAdvTaxPaidListSTO">T_Tax_Computation!$C$26</definedName>
    <definedName name="TaxComp.VehicleAdvTaxPaidListTO">[2]L_Tax_Computation!$C$77</definedName>
    <definedName name="TaxComp.VehicleAdvTaxPaidListWTO">T_Tax_Computation!$D$26</definedName>
    <definedName name="TaxComp.WithHoldingListSTO">T_Tax_Computation!$C$25</definedName>
    <definedName name="TaxComp.WithHoldingListTO">[2]L_Tax_Computation!$C$76</definedName>
    <definedName name="TaxComp.WithHoldingListWTO">T_Tax_Computation!$D$25</definedName>
    <definedName name="TaxCopm.MortgageIntDtlsListWTO">T_Tax_Computation!$D$6</definedName>
    <definedName name="TC.BussTaxableIncomeS">T_Income_Computation_Self!$C$32</definedName>
    <definedName name="TC.BussTaxableIncomeW">T_Income_Computation_Wife!$C$32</definedName>
    <definedName name="TC.CommTaxableIncomeS">T_Income_Computation_Self!$G$32</definedName>
    <definedName name="TC.CommTaxableIncomeW">T_Income_Computation_Wife!$G$32</definedName>
    <definedName name="TC.FarmTaxableIncomeS">T_Income_Computation_Self!$D$32</definedName>
    <definedName name="TC.FarmTaxableIncomeW">T_Income_Computation_Wife!$D$32</definedName>
    <definedName name="TC.IntrTaxableIncomeS">T_Income_Computation_Self!$F$32</definedName>
    <definedName name="TC.IntrTaxableIncomeW">T_Income_Computation_Wife!$F$32</definedName>
    <definedName name="TC.OtherTaxableIncomeS">T_Income_Computation_Self!$H$32</definedName>
    <definedName name="TC.OtherTaxableIncomeW">T_Income_Computation_Wife!$H$32</definedName>
    <definedName name="TC.RentTaxableIncomeS">T_Income_Computation_Self!$E$32</definedName>
    <definedName name="TC.RentTaxableIncomeW">T_Income_Computation_Wife!$E$32</definedName>
    <definedName name="TC.TotalLossCurrntYrIncomeConsdtS">T_Income_Computation_Self!$I$33</definedName>
    <definedName name="TC.TotalLossCurrntYrIncomeConsdtW">T_Income_Computation_Wife!$I$33</definedName>
    <definedName name="TC.TotalTaxableIncomeConsdtS">T_Income_Computation_Self!$I$32</definedName>
    <definedName name="TC.TotalTaxableIncomeConsdtW">T_Income_Computation_Wife!$I$32</definedName>
    <definedName name="tempDeprS">E1_IDA_CA!$B$39:$H$40</definedName>
    <definedName name="tempDeprW">E1_IDA_CA!$B$45:$H$46</definedName>
    <definedName name="tempIniAllIBDS">E1_IDA_CA!$B$15:$J$16</definedName>
    <definedName name="tempIniAllIBDW">E1_IDA_CA!$B$21:$J$22</definedName>
    <definedName name="tempIniPlanList">E1_IDA_CA!$B$3:$J$4</definedName>
    <definedName name="tempIniPlanListW">E1_IDA_CA!$B$9:$J$10</definedName>
    <definedName name="templateInfo.formId">A_Basic_Info!$J$3</definedName>
    <definedName name="templateInfo.moduleId">A_Basic_Info!$I$3</definedName>
    <definedName name="templateInfo.obligId">A_Basic_Info!$J$1</definedName>
    <definedName name="templateInfo.ofcVrsn">A_Basic_Info!$J$2</definedName>
    <definedName name="templateInfo.tempType">A_Basic_Info!$I$2</definedName>
    <definedName name="templateInfo.tempVrsn">A_Basic_Info!$I$1</definedName>
    <definedName name="templateType">Data!$A$24</definedName>
    <definedName name="TotalIncomePartershipS">G_Partnership_Income!$I$3:$I$4</definedName>
    <definedName name="TotalIncomePartershipW">G_Partnership_Income!$I$11:$I$12</definedName>
    <definedName name="Town">Data!$N$2:$N$1023</definedName>
    <definedName name="TypeOfIncome">Data!$A$5:$A$10</definedName>
    <definedName name="TypeOfIncomeS">G_Partnership_Income!$C$3:$C$4</definedName>
    <definedName name="TypeOfIncomeW">G_Partnership_Income!$C$11:$C$12</definedName>
    <definedName name="Usage">Data!$C$10:$C$11</definedName>
    <definedName name="UsageCodeSorted">Data!$F$10:$F$11</definedName>
    <definedName name="UsageSorted">Data!$E$10:$E$11</definedName>
    <definedName name="valueOfCarS">I_Computation_of_Car_Benefit!$J$3:$J$4</definedName>
    <definedName name="valueOfCarW">I_Computation_of_Car_Benefit!$J$11:$J$12</definedName>
    <definedName name="VehicleAdvTaxPaid.List">[1]H_Advance_Tax_Credits!$A$3:$G$4</definedName>
    <definedName name="VehicleAdvTaxPaid.ListS">P_Advance_Tax_Credits!$A$3:$H$4</definedName>
    <definedName name="VehicleAdvTaxPaid.ListSTO">P_Advance_Tax_Credits!$F$5</definedName>
    <definedName name="VehicleAdvTaxPaid.ListTO">[1]H_Advance_Tax_Credits!$F$5</definedName>
    <definedName name="VehicleAdvTaxPaid.ListW">P_Advance_Tax_Credits!$A$11:$H$12</definedName>
    <definedName name="VehicleAdvTaxPaid.ListWTO">P_Advance_Tax_Credits!$F$13</definedName>
    <definedName name="visibleSheetsArr">Data!$D$31</definedName>
    <definedName name="WAT.List">[1]E2_CA_WTA_WDV!$B$4:$G$10</definedName>
    <definedName name="WAT.ListB">#REF!</definedName>
    <definedName name="WAT.ListBS">E2_CA_WTA_SLM!$A$4:$K$5</definedName>
    <definedName name="WAT.ListBW">E2_CA_WTA_SLM!$A$11:$K$12</definedName>
    <definedName name="WAT.ListS">E2_CA_WTA_WDV!$B$4:$H$10</definedName>
    <definedName name="WAT.ListW">E2_CA_WTA_WDV!$B$16:$H$22</definedName>
    <definedName name="WAT.TotalCost">[1]E2_CA_WTA_SLM!$H$6</definedName>
    <definedName name="WAT.TotalCostS">E2_CA_WTA_SLM!$H$6</definedName>
    <definedName name="WAT.TotalCostW">E2_CA_WTA_SLM!$H$13</definedName>
    <definedName name="WAT.TotalWAT">[1]E2_CA_WTA_WDV!$F$9</definedName>
    <definedName name="WAT.TotalWATB">E2_CA_WTA_SLM!$I$6</definedName>
    <definedName name="WAT.TotalWATListBS">E2_CA_WTA_SLM!$I$6</definedName>
    <definedName name="WAT.TotalWATListBW">E2_CA_WTA_SLM!$I$13</definedName>
    <definedName name="WAT.TotalWATS">E2_CA_WTA_WDV!$F$9</definedName>
    <definedName name="WAT.TotalWATW">E2_CA_WTA_WDV!$F$21</definedName>
    <definedName name="WithHolding.List">[1]G_WHT_Credits!$A$3:$E$4</definedName>
    <definedName name="WithHolding.ListS">O_WHT_Credits!$A$3:$F$4</definedName>
    <definedName name="WithHolding.ListSTO">O_WHT_Credits!$E$5</definedName>
    <definedName name="WithHolding.ListTO">[1]G_WHT_Credits!$E$5</definedName>
    <definedName name="WithHolding.ListW">O_WHT_Credits!$A$11:$F$12</definedName>
    <definedName name="WithHolding.ListWTO">O_WHT_Credits!$E$13</definedName>
    <definedName name="YearOfIncome">[1]Data!$D$61:$D$72</definedName>
    <definedName name="AgrLandDed.ExpIncurredList" localSheetId="28">[2]E1_IDA_CA!$C$19</definedName>
    <definedName name="AgrLandDed.List" localSheetId="28">[2]E1_IDA_CA!$A$17:$G$18</definedName>
    <definedName name="AgrLandDed.ListDed" localSheetId="28">[2]E1_IDA_CA!$F$19</definedName>
    <definedName name="AgrLandDed.SalesTransferTO" localSheetId="28">[2]E1_IDA_CA!$E$19</definedName>
    <definedName name="AgrLandDed.WdvAtTheEndTO" localSheetId="28">[2]E1_IDA_CA!$G$19</definedName>
    <definedName name="AgrLandDed.WdvTO" localSheetId="28">[2]E1_IDA_CA!$D$19</definedName>
    <definedName name="BalSt.AccredInterest" localSheetId="28">[2]C_Balance_Sheet!$C$53</definedName>
    <definedName name="BalSt.AccumulatedDeprecn" localSheetId="28">[2]C_Balance_Sheet!$C$11</definedName>
    <definedName name="BalSt.AnyOthrRsv" localSheetId="28">[2]C_Balance_Sheet!$C$72</definedName>
    <definedName name="BalSt.BankBal" localSheetId="28">[2]C_Balance_Sheet!$C$34</definedName>
    <definedName name="BalSt.BankOverDrft" localSheetId="28">[2]C_Balance_Sheet!$C$54</definedName>
    <definedName name="BalSt.CashHndEqupmn" localSheetId="28">[2]C_Balance_Sheet!$C$35</definedName>
    <definedName name="BalSt.DbtSecurIssued" localSheetId="28">[2]C_Balance_Sheet!$C$82</definedName>
    <definedName name="BalSt.Debentured" localSheetId="28">[2]C_Balance_Sheet!$C$15</definedName>
    <definedName name="BalSt.DeferredTxAst" localSheetId="28">[2]C_Balance_Sheet!$C$47</definedName>
    <definedName name="BalSt.DeferredTxLiabty" localSheetId="28">[2]C_Balance_Sheet!$C$91</definedName>
    <definedName name="BalSt.Deposit" localSheetId="28">[2]C_Balance_Sheet!$C$44</definedName>
    <definedName name="BalSt.DividendPybl" localSheetId="28">[2]C_Balance_Sheet!$C$55</definedName>
    <definedName name="BalSt.DueRltdParty" localSheetId="28">[2]C_Balance_Sheet!$C$79</definedName>
    <definedName name="BalSt.FixDepost" localSheetId="28">[2]C_Balance_Sheet!$C$16</definedName>
    <definedName name="BalSt.FnsTrdGood" localSheetId="28">[2]C_Balance_Sheet!$C$26</definedName>
    <definedName name="BalSt.FrnLoanUnRltPrty" localSheetId="28">[2]C_Balance_Sheet!$C$41</definedName>
    <definedName name="BalSt.FurnitureFix" localSheetId="28">[2]C_Balance_Sheet!$C$8</definedName>
    <definedName name="BalSt.GnrlRsv" localSheetId="28">[2]C_Balance_Sheet!$C$71</definedName>
    <definedName name="BalSt.GovtSec" localSheetId="28">[2]C_Balance_Sheet!$C$17</definedName>
    <definedName name="BalSt.IntangibleAst" localSheetId="28">[2]C_Balance_Sheet!$C$10</definedName>
    <definedName name="BalSt.LandBuilding" localSheetId="28">[2]C_Balance_Sheet!$C$5</definedName>
    <definedName name="BalSt.LiabtyLeasAst" localSheetId="28">[2]C_Balance_Sheet!$C$52</definedName>
    <definedName name="BalSt.LoanAdvnceOthr" localSheetId="28">[2]C_Balance_Sheet!$C$45</definedName>
    <definedName name="BalSt.LoanAdvncStff" localSheetId="28">[2]C_Balance_Sheet!$C$43</definedName>
    <definedName name="BalSt.LoanFinancialInst" localSheetId="28">[2]C_Balance_Sheet!$C$78</definedName>
    <definedName name="BalSt.LoanRltPrty" localSheetId="28">[2]C_Balance_Sheet!$C$40</definedName>
    <definedName name="BalSt.LocalLoan" localSheetId="28">[2]C_Balance_Sheet!$C$42</definedName>
    <definedName name="BalSt.LocalLoanSec" localSheetId="28">[2]C_Balance_Sheet!$C$80</definedName>
    <definedName name="BalSt.LocalLoanUnSec" localSheetId="28">[2]C_Balance_Sheet!$C$87</definedName>
    <definedName name="BalSt.MtrVehicle" localSheetId="28">[2]C_Balance_Sheet!$C$7</definedName>
    <definedName name="BalSt.OtherAst" localSheetId="28">[2]C_Balance_Sheet!$C$9</definedName>
    <definedName name="BalSt.OtherCrntAst" localSheetId="28">[2]C_Balance_Sheet!$C$37</definedName>
    <definedName name="BalSt.OtherCrntLiabty" localSheetId="28">[2]C_Balance_Sheet!$C$56</definedName>
    <definedName name="BalSt.OtherInvstmnt" localSheetId="28">[2]C_Balance_Sheet!$C$18</definedName>
    <definedName name="BalSt.OtherPrvsns" localSheetId="28">[2]C_Balance_Sheet!$C$61</definedName>
    <definedName name="BalSt.OtherRcvblDebtors" localSheetId="28">[2]C_Balance_Sheet!$C$31</definedName>
    <definedName name="BalSt.OthrLoan" localSheetId="28">[2]C_Balance_Sheet!$C$81</definedName>
    <definedName name="BalSt.PlantMachinery" localSheetId="28">[2]C_Balance_Sheet!$C$6</definedName>
    <definedName name="BalSt.PrePaymnt" localSheetId="28">[2]C_Balance_Sheet!$C$30</definedName>
    <definedName name="BalSt.ProperietorCptl" localSheetId="28">[2]C_Balance_Sheet!$C$67</definedName>
    <definedName name="BalSt.ProprietorFundLngTrmLaibty" localSheetId="28">[2]C_Balance_Sheet!$C$93</definedName>
    <definedName name="BalSt.PrvsnsBadDbt" localSheetId="28">[2]C_Balance_Sheet!$C$60</definedName>
    <definedName name="BalSt.PrvsnsIncomeTx" localSheetId="28">[2]C_Balance_Sheet!$C$59</definedName>
    <definedName name="BalSt.RetainedEarnings" localSheetId="28">[2]C_Balance_Sheet!$C$73</definedName>
    <definedName name="BalSt.RevalustionRsv" localSheetId="28">[2]C_Balance_Sheet!$C$69</definedName>
    <definedName name="BalSt.RwMaterial" localSheetId="28">[2]C_Balance_Sheet!$C$24</definedName>
    <definedName name="BalSt.sharePremium" localSheetId="28">[2]C_Balance_Sheet!$C$68</definedName>
    <definedName name="BalSt.Shares" localSheetId="28">[2]C_Balance_Sheet!$C$14</definedName>
    <definedName name="BalSt.StrConsblePckMtrl" localSheetId="28">[2]C_Balance_Sheet!$C$23</definedName>
    <definedName name="BalSt.TnsltnRsv" localSheetId="28">[2]C_Balance_Sheet!$C$70</definedName>
    <definedName name="BalSt.TotalASt" localSheetId="28">[2]C_Balance_Sheet!$C$63</definedName>
    <definedName name="BalSt.TotalBalAvlbl" localSheetId="28">[2]C_Balance_Sheet!$C$33</definedName>
    <definedName name="BalSt.TotalCrntAst" localSheetId="28">[2]C_Balance_Sheet!$C$21</definedName>
    <definedName name="BalSt.TotalCrntAstLnAdv" localSheetId="28">[2]C_Balance_Sheet!$C$20</definedName>
    <definedName name="BalSt.TotalCrntLiabty" localSheetId="28">[2]C_Balance_Sheet!$C$50</definedName>
    <definedName name="BalSt.TotalCrntLiabtyPrvsns" localSheetId="28">[2]C_Balance_Sheet!$C$49</definedName>
    <definedName name="BalSt.TotalFixAst" localSheetId="28">[2]C_Balance_Sheet!$C$4</definedName>
    <definedName name="BalSt.TotalInventory" localSheetId="28">[2]C_Balance_Sheet!$C$22</definedName>
    <definedName name="BalSt.TotalInvstmnt" localSheetId="28">[2]C_Balance_Sheet!$C$13</definedName>
    <definedName name="BalSt.TotalLiabilitues" localSheetId="28">[3]C_Balance_Sheet!$C$85</definedName>
    <definedName name="BalSt.TotalLoanAdvnce" localSheetId="28">[2]C_Balance_Sheet!$C$39</definedName>
    <definedName name="BalSt.TotalLoanFund" localSheetId="28">[2]C_Balance_Sheet!$C$76</definedName>
    <definedName name="BalSt.TotalProprietorCptlRsv" localSheetId="28">[2]C_Balance_Sheet!$C$66</definedName>
    <definedName name="BalSt.TotalPrvsns" localSheetId="28">[2]C_Balance_Sheet!$C$58</definedName>
    <definedName name="BalSt.TotalRcvblDebtors" localSheetId="28">[2]C_Balance_Sheet!$C$28</definedName>
    <definedName name="BalSt.TotalSecurdLaibty" localSheetId="28">[2]C_Balance_Sheet!$C$77</definedName>
    <definedName name="BalSt.TotalUnsecureLaibty" localSheetId="28">[2]C_Balance_Sheet!$C$84</definedName>
    <definedName name="BalSt.TradePayblCrdt" localSheetId="28">[2]C_Balance_Sheet!$C$51</definedName>
    <definedName name="BalSt.TrdRcvDebtros" localSheetId="28">[2]C_Balance_Sheet!$C$29</definedName>
    <definedName name="BalSt.UnsecuredDueRltdParty" localSheetId="28">[2]C_Balance_Sheet!$C$86</definedName>
    <definedName name="BalSt.UnsecuredLoanFinancialInst" localSheetId="28">[2]C_Balance_Sheet!$C$85</definedName>
    <definedName name="BalSt.UnsecuredOtherLoan" localSheetId="28">[2]C_Balance_Sheet!$C$88</definedName>
    <definedName name="BalSt.UnsecuredPayblCrdtThnOne" localSheetId="28">[2]C_Balance_Sheet!$C$89</definedName>
    <definedName name="BalSt.WorkInProgs" localSheetId="28">[2]C_Balance_Sheet!$C$25</definedName>
    <definedName name="BankBranchName" localSheetId="28">[2]A_Basic_Info!$B$26</definedName>
    <definedName name="BankDtl.AccName" localSheetId="28">[2]A_Basic_Info!$B$28</definedName>
    <definedName name="BankDtl.AccNumber" localSheetId="28">[2]A_Basic_Info!$B$29</definedName>
    <definedName name="BankDtl.BankName" localSheetId="28">[2]A_Basic_Info!$C$25</definedName>
    <definedName name="BankDtl.BranchName" localSheetId="28">[2]A_Basic_Info!$C$26</definedName>
    <definedName name="BankDtl.City" localSheetId="28">[2]A_Basic_Info!$B$27</definedName>
    <definedName name="BankName" localSheetId="28">[2]A_Basic_Info!$B$25</definedName>
    <definedName name="BankNames" localSheetId="28">[2]Data!$AS$2:$AS$47</definedName>
    <definedName name="Boolean" localSheetId="28">[2]Data!$F$19:$F$20</definedName>
    <definedName name="CompnsDividTxAct.AllwdCrntYrDividedRcv" localSheetId="28">[2]L_Tax_Computation!$C$66</definedName>
    <definedName name="CompnsDividTxAct.AllwdDividedRcv" localSheetId="28">[2]L_Tax_Computation!$C$63</definedName>
    <definedName name="CompnsDividTxAct.CompnsTxDue" localSheetId="28">[2]L_Tax_Computation!$C$67</definedName>
    <definedName name="CompnsDividTxAct.CrntYearCorpoTax" localSheetId="28">[2]L_Tax_Computation!$C$61</definedName>
    <definedName name="CompnsDividTxAct.CrntYearDividedPaid" localSheetId="28">[2]L_Tax_Computation!$C$65</definedName>
    <definedName name="CompnsDividTxAct.CrntYearRfdClaimed" localSheetId="28">[2]L_Tax_Computation!$C$64</definedName>
    <definedName name="CompnsDividTxAct.DividedReceived" localSheetId="28">[2]L_Tax_Computation!$C$62</definedName>
    <definedName name="CompnsDividTxAct.DTAOpnBal" localSheetId="28">[2]L_Tax_Computation!$C$60</definedName>
    <definedName name="CountyName" localSheetId="28">[2]Data!$P$2:$P$48</definedName>
    <definedName name="CreditIncome.CrdtUndrSpclArrnngmnt" localSheetId="28">[2]L_Tax_Computation!$C$78</definedName>
    <definedName name="CreditIncome.TotalCredit" localSheetId="28">[2]L_Tax_Computation!$C$74</definedName>
    <definedName name="defaultZero" localSheetId="28">[2]Data!$X$2</definedName>
    <definedName name="DeprIntengAst.Cost" localSheetId="28">[2]E1_IDA_CA!$H$26</definedName>
    <definedName name="DeprIntengAst.List" localSheetId="28">[2]E1_IDA_CA!$A$24:$J$25</definedName>
    <definedName name="DeprIntengAst.ListDepre" localSheetId="28">[2]E1_IDA_CA!$I$26</definedName>
    <definedName name="DetailsAuditor.AuditDate" localSheetId="28">[2]A_Basic_Info!$B$34</definedName>
    <definedName name="DetailsAuditor.Name" localSheetId="28">[2]A_Basic_Info!$B$33</definedName>
    <definedName name="DetailsAuditor.PIN" localSheetId="28">[2]A_Basic_Info!$B$32</definedName>
    <definedName name="districtName" localSheetId="28">[2]Data!$AB$2:$AB$213</definedName>
    <definedName name="DtlIncomePaid.IncomePaidAdvanceList" localSheetId="28">[2]I_IT_Payment_Credits!$A$4:$D$5</definedName>
    <definedName name="DtlIncomePaid.IncomePaidAdvanceListTO" localSheetId="28">[2]I_IT_Payment_Credits!$C$6</definedName>
    <definedName name="EPZYN" localSheetId="28">[2]Data!$D$101:$D$102</definedName>
    <definedName name="ErrMsg.alphanumeric" localSheetId="28">[2]Data!$A$92</definedName>
    <definedName name="ErrMsg.alphanumericonly" localSheetId="28">[2]Data!$A$98</definedName>
    <definedName name="ErrMsg.DateFormat" localSheetId="28">[2]Data!$A$90</definedName>
    <definedName name="ErrMsg.Mandatory" localSheetId="28">[2]Data!$A$94</definedName>
    <definedName name="ErrMsg.Mandatory1" localSheetId="28">[3]Data!$A$94</definedName>
    <definedName name="ErrMsg.NumericVal" localSheetId="28">[2]Data!$A$91</definedName>
    <definedName name="ErrMsg.WithinRtnPeriod" localSheetId="28">[2]Data!$A$97</definedName>
    <definedName name="Estate.AdminTrustExpense" localSheetId="28">[2]M_Estate_Trust_Distri_Inco!$C$4</definedName>
    <definedName name="Estate.DistIncome" localSheetId="28">[2]M_Estate_Trust_Distri_Inco!$C$6</definedName>
    <definedName name="Estate.DistIncomeAct" localSheetId="28">[2]M_Estate_Trust_Distri_Inco!$C$8</definedName>
    <definedName name="Estate.DistIncomePerc" localSheetId="28">[2]M_Estate_Trust_Distri_Inco!$C$7</definedName>
    <definedName name="FinalTax.TaxRefundDue" localSheetId="28">[2]L_Tax_Computation!$C$82</definedName>
    <definedName name="FinalTax.TotalTxbIncome" localSheetId="28">[2]L_Tax_Computation!$C$71</definedName>
    <definedName name="IniAllIBD.CostTO" localSheetId="28">[2]E1_IDA_CA!$D$12</definedName>
    <definedName name="IniAllIBD.IBDListPart2" localSheetId="28">[2]E1_IDA_CA!$H$12</definedName>
    <definedName name="IniAllIBD.ListPart2" localSheetId="28">[2]E1_IDA_CA!$A$10:$I$11</definedName>
    <definedName name="IniAllIBD.ListPart2IniAll" localSheetId="28">[2]E1_IDA_CA!$E$12</definedName>
    <definedName name="IniAllIBD.QualExpeTO" localSheetId="28">[2]E1_IDA_CA!$F$12</definedName>
    <definedName name="IniAllIBD.ResidentValueCFListPart2" localSheetId="28">[2]E1_IDA_CA!$I$12</definedName>
    <definedName name="IniAllIBD.ResidentValueListPart2" localSheetId="28">[2]E1_IDA_CA!$G$12</definedName>
    <definedName name="IniAllPlanMach.CostTO" localSheetId="28">[2]E1_IDA_CA!$G$5</definedName>
    <definedName name="IniAllPlanMach.ListPart1" localSheetId="28">[2]E1_IDA_CA!$A$3:$I$4</definedName>
    <definedName name="IniAllPlanMach.ListPart1IniAll" localSheetId="28">[2]E1_IDA_CA!$H$5</definedName>
    <definedName name="InstallmentTax.List" localSheetId="28">[2]F_Installment_Tax_Credits!$A$3:$D$4</definedName>
    <definedName name="InstallmentTax.ListTO" localSheetId="28">[2]F_Installment_Tax_Credits!$C$5</definedName>
    <definedName name="Inv.QuantDtlsClosingStckList" localSheetId="28">[2]D_Stock_Analysis!$J$5</definedName>
    <definedName name="Inv.QuantDtlsClosingStckListKII" localSheetId="28">[2]D_Stock_Analysis!$K$12</definedName>
    <definedName name="Inv.QuantDtlsConsumptionListKII" localSheetId="28">[2]D_Stock_Analysis!$G$12</definedName>
    <definedName name="Inv.QuantDtlsList" localSheetId="28">[2]D_Stock_Analysis!$A$3:$L$4</definedName>
    <definedName name="Inv.QuantDtlsListKII" localSheetId="28">[2]D_Stock_Analysis!$A$10:$O$11</definedName>
    <definedName name="Inv.QuantDtlsOpenStockListKII" localSheetId="28">[2]D_Stock_Analysis!$C$12</definedName>
    <definedName name="Inv.QuantDtlsOpnStckList" localSheetId="28">[2]D_Stock_Analysis!$C$5</definedName>
    <definedName name="Inv.QuantDtlsPurchaseList" localSheetId="28">[2]D_Stock_Analysis!$D$5</definedName>
    <definedName name="Inv.QuantDtlsPurchaseListKII" localSheetId="28">[2]D_Stock_Analysis!$D$12</definedName>
    <definedName name="Inv.QuantDtlsSalesQualtyListKII" localSheetId="28">[2]D_Stock_Analysis!$H$12</definedName>
    <definedName name="Inv.QuantDtlsSalesQuatyList" localSheetId="28">[2]D_Stock_Analysis!$G$5</definedName>
    <definedName name="Inv.QuantDtlsShortageExcess" localSheetId="28">[2]D_Stock_Analysis!$K$5</definedName>
    <definedName name="Inv.QuantDtlsShortageExcessListKII" localSheetId="28">[2]D_Stock_Analysis!$N$12</definedName>
    <definedName name="Inv.QuantDtlsYieldPrdctUnitListKII" localSheetId="28">[2]D_Stock_Analysis!$L$12</definedName>
    <definedName name="Inv.QunDtlExprtRldParty" localSheetId="28">[2]D_Stock_Analysis!$H$5</definedName>
    <definedName name="Inv.QunDtlExprtRldPartyPII" localSheetId="28">[2]D_Stock_Analysis!$I$12</definedName>
    <definedName name="Inv.QunDtlExprtUnRldParty" localSheetId="28">[2]D_Stock_Analysis!$I$5</definedName>
    <definedName name="Inv.QunDtlExprtUnRldPartyPII" localSheetId="28">[2]D_Stock_Analysis!$J$12</definedName>
    <definedName name="Inv.QunDtlImprtRldParty" localSheetId="28">[2]D_Stock_Analysis!$E$5</definedName>
    <definedName name="Inv.QunDtlImprtRldPartyPII" localSheetId="28">[2]D_Stock_Analysis!$E$12</definedName>
    <definedName name="Inv.QunDtlImprtUnRldParty" localSheetId="28">[2]D_Stock_Analysis!$F$5</definedName>
    <definedName name="Inv.QunDtlImprtUnRldPartyPII" localSheetId="28">[2]D_Stock_Analysis!$F$12</definedName>
    <definedName name="ListingStatus" localSheetId="28">[2]Data!$D$83:$D$84</definedName>
    <definedName name="Location" localSheetId="28">[2]Data!$K$2:$K$4</definedName>
    <definedName name="LocationCode" localSheetId="28">[2]Data!$L$2:$L$4</definedName>
    <definedName name="PLA.badDoubtfulDebtsBuss" localSheetId="28">[2]B_Profit_Loss_Account!$C$63</definedName>
    <definedName name="PLA.badDoubtfulDebtsFarm" localSheetId="28">[2]B_Profit_Loss_Account!$D$63</definedName>
    <definedName name="PLA.badDoubtfulDebtsInt" localSheetId="28">[2]B_Profit_Loss_Account!$F$63</definedName>
    <definedName name="PLA.badDoubtfulDebtsOth" localSheetId="28">[2]B_Profit_Loss_Account!$G$63</definedName>
    <definedName name="PLA.badDoubtfulDebtsRent" localSheetId="28">[2]B_Profit_Loss_Account!$E$63</definedName>
    <definedName name="PLA.deprAdminBuss" localSheetId="28">[2]B_Profit_Loss_Account!$C$79</definedName>
    <definedName name="PLA.deprAdminFarm" localSheetId="28">[2]B_Profit_Loss_Account!$D$79</definedName>
    <definedName name="PLA.deprAdminInt" localSheetId="28">[2]B_Profit_Loss_Account!$F$79</definedName>
    <definedName name="PLA.deprAdminOther" localSheetId="28">[2]B_Profit_Loss_Account!$G$79</definedName>
    <definedName name="PLA.deprAdminRental" localSheetId="28">[2]B_Profit_Loss_Account!$E$79</definedName>
    <definedName name="PLA.deprBuss" localSheetId="28">[2]B_Profit_Loss_Account!$C$26</definedName>
    <definedName name="PLA.deprFarm" localSheetId="28">[2]B_Profit_Loss_Account!$D$26</definedName>
    <definedName name="PLA.deprInt" localSheetId="28">[2]B_Profit_Loss_Account!$F$26</definedName>
    <definedName name="PLA.deprOther" localSheetId="28">[2]B_Profit_Loss_Account!$G$26</definedName>
    <definedName name="PLA.deprRent" localSheetId="28">[2]B_Profit_Loss_Account!$E$26</definedName>
    <definedName name="PLA.LossOnDisposalBuss" localSheetId="28">[2]B_Profit_Loss_Account!$C$80</definedName>
    <definedName name="PLA.LossOnDisposalFarm" localSheetId="28">[2]B_Profit_Loss_Account!$D$80</definedName>
    <definedName name="PLA.LossOnDisposalInt" localSheetId="28">[2]B_Profit_Loss_Account!$F$80</definedName>
    <definedName name="PLA.LossOnDisposalOther" localSheetId="28">[2]B_Profit_Loss_Account!$G$80</definedName>
    <definedName name="PLA.LossOnDisposalRental" localSheetId="28">[2]B_Profit_Loss_Account!$E$80</definedName>
    <definedName name="PLA.OEBuss" localSheetId="28">[2]B_Profit_Loss_Account!$C$120</definedName>
    <definedName name="PLA.OEFarm" localSheetId="28">[2]B_Profit_Loss_Account!$D$120</definedName>
    <definedName name="PLA.OEInt" localSheetId="28">[2]B_Profit_Loss_Account!$F$120</definedName>
    <definedName name="PLA.OEOth" localSheetId="28">[2]B_Profit_Loss_Account!$G$120</definedName>
    <definedName name="PLA.OERent" localSheetId="28">[2]B_Profit_Loss_Account!$E$120</definedName>
    <definedName name="PLA.OtherExpensesList" localSheetId="28">[2]B_Profit_Loss_Account!$B$114:$H$119</definedName>
    <definedName name="PLA.ProfitLossBeforeTax" localSheetId="28">[2]B_Profit_Loss_Account!$H$105</definedName>
    <definedName name="PLA.ProfitLossBeforeTaxBuss" localSheetId="28">[2]B_Profit_Loss_Account!$C$105</definedName>
    <definedName name="PLA.ProfitLossBeforeTaxFarm" localSheetId="28">[2]B_Profit_Loss_Account!$D$105</definedName>
    <definedName name="PLA.ProfitLossBeforeTaxInt" localSheetId="28">[2]B_Profit_Loss_Account!$F$105</definedName>
    <definedName name="PLA.ProfitLossBeforeTaxOther" localSheetId="28">[2]B_Profit_Loss_Account!$G$105</definedName>
    <definedName name="PLA.ProfitLossBeforeTaxRent" localSheetId="28">[2]B_Profit_Loss_Account!$E$105</definedName>
    <definedName name="PLA.profitOnDispAstBuss" localSheetId="28">[2]B_Profit_Loss_Account!$C$42</definedName>
    <definedName name="PLA.profitOnDispAstFarm" localSheetId="28">[2]B_Profit_Loss_Account!$D$42</definedName>
    <definedName name="PLA.profitOnDispAstInt" localSheetId="28">[2]B_Profit_Loss_Account!$F$42</definedName>
    <definedName name="PLA.profitOnDispAstOth" localSheetId="28">[2]B_Profit_Loss_Account!$G$42</definedName>
    <definedName name="PLA.profitOnDispAstRent" localSheetId="28">[2]B_Profit_Loss_Account!$E$42</definedName>
    <definedName name="PLA.rentPartI" localSheetId="28">[2]B_Profit_Loss_Account!$H$64</definedName>
    <definedName name="PLA.rentPartII" localSheetId="28">[2]B_Profit_Loss_Account!$H$90</definedName>
    <definedName name="PLA.unrealizedExchGainBuss" localSheetId="28">[2]B_Profit_Loss_Account!$C$44</definedName>
    <definedName name="PLA.unrealizedExchGainFarm" localSheetId="28">[2]B_Profit_Loss_Account!$D$44</definedName>
    <definedName name="PLA.unrealizedExchGainInt" localSheetId="28">[2]B_Profit_Loss_Account!$F$44</definedName>
    <definedName name="PLA.unrealizedExchGainOth" localSheetId="28">[2]B_Profit_Loss_Account!$G$44</definedName>
    <definedName name="PLA.unrealizedExchGainRent" localSheetId="28">[2]B_Profit_Loss_Account!$E$44</definedName>
    <definedName name="PLA.unrealizedExchLossBuss" localSheetId="28">[2]B_Profit_Loss_Account!$C$101</definedName>
    <definedName name="PLA.unrealizedExchLossFarm" localSheetId="28">[2]B_Profit_Loss_Account!$D$101</definedName>
    <definedName name="PLA.unrealizedExchLossInt" localSheetId="28">[2]B_Profit_Loss_Account!$F$101</definedName>
    <definedName name="PLA.unrealizedExchLossOth" localSheetId="28">[2]B_Profit_Loss_Account!$G$101</definedName>
    <definedName name="PLA.unrealizedExchLossRent" localSheetId="28">[2]B_Profit_Loss_Account!$E$101</definedName>
    <definedName name="RentalIncome.List" localSheetId="28">[2]A_Basic_Info!$A$47:$T$48</definedName>
    <definedName name="RentalIncome.ListTO" localSheetId="28">[2]A_Basic_Info!$P$49</definedName>
    <definedName name="RentPaid.GrossRentalIncomePartI" localSheetId="28">[2]A_Basic_Info!$P$41</definedName>
    <definedName name="RentPaid.RentList" localSheetId="28">[2]A_Basic_Info!$A$39:$T$40</definedName>
    <definedName name="ResidentStatus" localSheetId="28">[2]Data!$D$75:$D$76</definedName>
    <definedName name="RetInf.CntryRednce" localSheetId="28">[2]A_Basic_Info!$B$22</definedName>
    <definedName name="RetInf.EffectvLstDate" localSheetId="28">[2]A_Basic_Info!$B$13</definedName>
    <definedName name="RetInf.EnterprsName" localSheetId="28">[2]A_Basic_Info!$B$21</definedName>
    <definedName name="RetInf.EPZEffectvDate" localSheetId="28">[2]A_Basic_Info!$B$11</definedName>
    <definedName name="RetInf.EPZEffeDate" localSheetId="28">[2]A_Basic_Info!$B$10</definedName>
    <definedName name="RetInf.FourthLastYear" localSheetId="28">[2]A_Basic_Info!$G$3</definedName>
    <definedName name="RetInf.IsCmpRsdnt" localSheetId="28">[2]A_Basic_Info!$B$8</definedName>
    <definedName name="RetInf.ISEPZComp" localSheetId="28">[2]A_Basic_Info!$B$9</definedName>
    <definedName name="RetInf.ISEPZCompCode" localSheetId="28">[2]A_Basic_Info!$C$9</definedName>
    <definedName name="RetInf.IsEstateTrust" localSheetId="28">[2]A_Basic_Info!$B$7</definedName>
    <definedName name="RetInf.KenyaOutsideYN" localSheetId="28">[2]A_Basic_Info!$B$20</definedName>
    <definedName name="RetInf.KenyaOutsideYNCode" localSheetId="28">[2]A_Basic_Info!$C$20</definedName>
    <definedName name="RetInf.LastYear" localSheetId="28">[2]A_Basic_Info!$D$3</definedName>
    <definedName name="RetInf.MonthDesc" localSheetId="28">[2]A_Basic_Info!$D$1</definedName>
    <definedName name="RetInf.NwListed" localSheetId="28">[2]A_Basic_Info!$B$12</definedName>
    <definedName name="RetInf.NwListedCode" localSheetId="28">[2]A_Basic_Info!$C$12</definedName>
    <definedName name="RetInf.PIN" localSheetId="28">[2]A_Basic_Info!$B$3</definedName>
    <definedName name="RetInf.RetPeriodFrm" localSheetId="28">[2]A_Basic_Info!$B$5</definedName>
    <definedName name="RetInf.RetPeriodTo" localSheetId="28">[2]A_Basic_Info!$B$6</definedName>
    <definedName name="RetInf.RetType" localSheetId="28">[2]A_Basic_Info!$B$4</definedName>
    <definedName name="RetInf.ReturnToDay" localSheetId="28">[2]A_Basic_Info!$D$10</definedName>
    <definedName name="RetInf.ReturnToDayStr" localSheetId="28">[2]A_Basic_Info!$E$10</definedName>
    <definedName name="RetInf.SecLastYear" localSheetId="28">[2]A_Basic_Info!$E$3</definedName>
    <definedName name="RetInf.ThirdLastYear" localSheetId="28">[2]A_Basic_Info!$F$3</definedName>
    <definedName name="RetInf.YearIncome" localSheetId="28">[2]A_Basic_Info!$C$4</definedName>
    <definedName name="ReturnType" localSheetId="28">[2]Data!$D$19:$D$20</definedName>
    <definedName name="RtnInf.MonthCode" localSheetId="28">[2]A_Basic_Info!$C$3</definedName>
    <definedName name="RtnInf.shareYear1" localSheetId="28">[2]A_Basic_Info!$B$14</definedName>
    <definedName name="RtnInf.shareYear2" localSheetId="28">[2]A_Basic_Info!$B$15</definedName>
    <definedName name="RtnInf.shareYear3" localSheetId="28">[2]A_Basic_Info!$B$16</definedName>
    <definedName name="RtnInf.shareYear4" localSheetId="28">[2]A_Basic_Info!$B$17</definedName>
    <definedName name="RtnInf.shareYear5" localSheetId="28">[2]A_Basic_Info!$B$18</definedName>
    <definedName name="RtnInf.shareYear6" localSheetId="28">[2]A_Basic_Info!$B$19</definedName>
    <definedName name="searchDistrictRange" localSheetId="28">[2]Data!$Q$2:$Q$48</definedName>
    <definedName name="searchLocalName" localSheetId="28">[2]Data!$Z$2:$Z$213</definedName>
    <definedName name="selectedBranchNames" localSheetId="28">[2]Data!$AY$2:$AY$10</definedName>
    <definedName name="sourceOfIncome" localSheetId="28">[2]Data!$V$2:$V$6</definedName>
    <definedName name="sourceOfIncomeCode" localSheetId="28">[2]Data!$W$2:$W$6</definedName>
    <definedName name="TaxComp.AllBuss" localSheetId="28">[2]L_Tax_Computation!$C$57</definedName>
    <definedName name="TaxComp.AllFarm" localSheetId="28">[2]L_Tax_Computation!$D$57</definedName>
    <definedName name="TaxComp.AllInt" localSheetId="28">[2]L_Tax_Computation!$F$57</definedName>
    <definedName name="TaxComp.AllItemList" localSheetId="28">[2]L_Tax_Computation!$B$50:$H$56</definedName>
    <definedName name="TaxComp.AllOth" localSheetId="28">[2]L_Tax_Computation!$G$57</definedName>
    <definedName name="TaxComp.AllRent" localSheetId="28">[2]L_Tax_Computation!$E$57</definedName>
    <definedName name="TaxComp.BussTaxblIncome" localSheetId="28">[2]L_Tax_Computation!$C$31</definedName>
    <definedName name="TaxComp.FarmTaxblIncome" localSheetId="28">[2]L_Tax_Computation!$D$31</definedName>
    <definedName name="TaxComp.InterestTaxblIncome" localSheetId="28">[2]L_Tax_Computation!$F$31</definedName>
    <definedName name="TaxComp.LossConsdnCurrentYrIncome" localSheetId="28">[2]L_Tax_Computation!$H$32</definedName>
    <definedName name="TaxComp.NonAllBuss" localSheetId="28">[2]L_Tax_Computation!$C$46</definedName>
    <definedName name="TaxComp.NonAllFarm" localSheetId="28">[2]L_Tax_Computation!$D$46</definedName>
    <definedName name="TaxComp.NonAllInt" localSheetId="28">[2]L_Tax_Computation!$F$46</definedName>
    <definedName name="TaxComp.NonAllItemList" localSheetId="28">[2]L_Tax_Computation!$B$39:$H$45</definedName>
    <definedName name="TaxComp.NonAllOth" localSheetId="28">[2]L_Tax_Computation!$G$46</definedName>
    <definedName name="TaxComp.NonAllRent" localSheetId="28">[2]L_Tax_Computation!$E$46</definedName>
    <definedName name="TaxComp.OtherTaxblIncome" localSheetId="28">[2]L_Tax_Computation!$G$31</definedName>
    <definedName name="TaxComp.RentTaxblIncome" localSheetId="28">[2]L_Tax_Computation!$E$31</definedName>
    <definedName name="TaxComp.TotalConsdnTaxblIncome" localSheetId="28">[2]L_Tax_Computation!$H$31</definedName>
    <definedName name="TaxComp.TotalTaxableIncome" localSheetId="28">[2]L_Tax_Computation!$H$33</definedName>
    <definedName name="Town" localSheetId="28">[2]Data!$N$2:$N$1021</definedName>
    <definedName name="Usage" localSheetId="28">[2]Data!$C$10:$C$11</definedName>
    <definedName name="VehicleAdvTaxPaid.List" localSheetId="28">[2]H_Advance_Tax_Credits!$A$3:$G$4</definedName>
    <definedName name="VehicleAdvTaxPaid.ListTO" localSheetId="28">[2]H_Advance_Tax_Credits!$F$5</definedName>
    <definedName name="WAT.List" localSheetId="28">[2]E2_CA_WTA_WDV!$B$4:$G$10</definedName>
    <definedName name="WAT.ListB" localSheetId="28">[2]E2_CA_WTA_SLM!$A$4:$J$5</definedName>
    <definedName name="WAT.TotalCost" localSheetId="28">[2]E2_CA_WTA_SLM!$H$6</definedName>
    <definedName name="WAT.TotalWAT" localSheetId="28">[2]E2_CA_WTA_WDV!$F$9</definedName>
    <definedName name="WAT.TotalWATB" localSheetId="28">[2]E2_CA_WTA_SLM!$I$6</definedName>
    <definedName name="WithHolding.List" localSheetId="28">[2]G_WHT_Credits!$A$3:$E$4</definedName>
    <definedName name="WithHolding.ListTO" localSheetId="28">[2]G_WHT_Credits!$E$5</definedName>
    <definedName name="BankNames" localSheetId="29">[1]Data!$AS$2:$AS$47</definedName>
    <definedName name="Boolean" localSheetId="29">[1]Data!$F$19:$F$20</definedName>
    <definedName name="CountyName" localSheetId="29">[1]Data!$P$2:$P$48</definedName>
    <definedName name="defaultZero" localSheetId="29">[1]Data!$X$2</definedName>
    <definedName name="districtName" localSheetId="29">[1]Data!$AB$2:$AB$213</definedName>
    <definedName name="ErrMsg.alphanumeric" localSheetId="29">[1]Data!$A$92</definedName>
    <definedName name="ErrMsg.alphanumericonly" localSheetId="29">[1]Data!$A$98</definedName>
    <definedName name="ErrMsg.DateFormat" localSheetId="29">[1]Data!$A$90</definedName>
    <definedName name="ErrMsg.Mandatory" localSheetId="29">[1]Data!$A$94</definedName>
    <definedName name="ErrMsg.NumericVal" localSheetId="29">[1]Data!$A$91</definedName>
    <definedName name="ErrMsg.WithinRtnPeriod" localSheetId="29">[1]Data!$A$97</definedName>
    <definedName name="Location" localSheetId="29">[1]Data!$K$2:$K$4</definedName>
    <definedName name="LocationCode" localSheetId="29">[1]Data!$L$2:$L$4</definedName>
    <definedName name="RetInf.PIN" localSheetId="29">[1]A_Basic_Info!$B$3</definedName>
    <definedName name="RetInf.RetType" localSheetId="29">[1]A_Basic_Info!$B$4</definedName>
    <definedName name="ReturnType" localSheetId="29">[1]Data!$D$19:$D$20</definedName>
    <definedName name="searchDistrictRange" localSheetId="29">[1]Data!$Q$2:$Q$48</definedName>
    <definedName name="searchLocalName" localSheetId="29">[1]Data!$Z$2:$Z$213</definedName>
    <definedName name="selectedBranchNames" localSheetId="29">[1]Data!$AY$2:$AY$5</definedName>
    <definedName name="sourceOfIncome" localSheetId="29">[1]Data!$V$2:$V$6</definedName>
    <definedName name="sourceOfIncomeCode" localSheetId="29">[1]Data!$W$2:$W$6</definedName>
    <definedName name="Town" localSheetId="29">[1]Data!$N$2:$N$1021</definedName>
    <definedName name="Usage" localSheetId="29">[1]Data!$C$10:$C$11</definedName>
    <definedName name="WAT.ListB" localSheetId="29">[1]E2_CA_WTA_SLM!$A$4:$J$5</definedName>
    <definedName name="WAT.TotalWATB" localSheetId="29">[1]E2_CA_WTA_SLM!$I$6</definedName>
  </definedNames>
  <calcPr calcId="191029" fullCalcOnLoad="1"/>
</workbook>
</file>

<file path=xl/styles.xml><?xml version="1.0" encoding="utf-8"?>
<styleSheet xmlns="http://schemas.openxmlformats.org/spreadsheetml/2006/main">
  <numFmts count="0"/>
  <fonts count="64">
    <font>
      <name val="Calibri"/>
      <family val="2"/>
      <color indexed="8"/>
      <sz val="11"/>
    </font>
    <font>
      <name val="Arial"/>
      <family val="2"/>
      <sz val="10"/>
    </font>
    <font>
      <name val="Book Antiqua"/>
      <family val="1"/>
      <color indexed="8"/>
      <sz val="12"/>
    </font>
    <font>
      <name val="Calibri"/>
      <family val="2"/>
      <b val="1"/>
      <color indexed="8"/>
      <sz val="11"/>
    </font>
    <font>
      <name val="Calibri"/>
      <family val="2"/>
      <color indexed="12"/>
      <sz val="11"/>
      <u val="single"/>
    </font>
    <font>
      <name val="Book Antiqua"/>
      <family val="1"/>
      <b val="1"/>
      <sz val="12"/>
    </font>
    <font>
      <name val="Book Antiqua"/>
      <family val="1"/>
      <sz val="12"/>
    </font>
    <font>
      <name val="Book Antiqua"/>
      <family val="1"/>
      <b val="1"/>
      <sz val="12"/>
      <u val="single"/>
    </font>
    <font>
      <name val="Book Antiqua"/>
      <family val="1"/>
      <b val="1"/>
      <color indexed="9"/>
      <sz val="14"/>
    </font>
    <font>
      <name val="Book Antiqua"/>
      <family val="1"/>
      <color indexed="10"/>
      <sz val="12"/>
    </font>
    <font>
      <name val="Book Antiqua"/>
      <family val="1"/>
      <b val="1"/>
      <color indexed="8"/>
      <sz val="12"/>
    </font>
    <font>
      <name val="Calibri"/>
      <family val="2"/>
      <color indexed="8"/>
      <sz val="11"/>
    </font>
    <font>
      <name val="Calibri"/>
      <family val="2"/>
      <b val="1"/>
      <color indexed="8"/>
      <sz val="12"/>
    </font>
    <font>
      <name val="Book Antiqua"/>
      <family val="1"/>
      <b val="1"/>
      <color indexed="9"/>
      <sz val="12"/>
    </font>
    <font>
      <name val="Calibri"/>
      <family val="2"/>
      <color indexed="8"/>
      <sz val="12"/>
    </font>
    <font>
      <name val="Calibri"/>
      <family val="2"/>
      <color indexed="22"/>
      <sz val="12"/>
    </font>
    <font>
      <name val="Calibri"/>
      <family val="2"/>
      <sz val="12"/>
    </font>
    <font>
      <name val="Calibri"/>
      <family val="2"/>
      <color indexed="10"/>
      <sz val="12"/>
    </font>
    <font>
      <name val="Calibri"/>
      <family val="2"/>
      <color indexed="12"/>
      <sz val="12"/>
      <u val="single"/>
    </font>
    <font>
      <name val="Book Antiqua"/>
      <family val="1"/>
      <color indexed="12"/>
      <sz val="12"/>
      <u val="single"/>
    </font>
    <font>
      <name val="Calibri"/>
      <family val="2"/>
      <sz val="11"/>
    </font>
    <font>
      <name val="Calibri"/>
      <family val="2"/>
      <b val="1"/>
      <sz val="11"/>
    </font>
    <font>
      <name val="Book Antiqua"/>
      <family val="1"/>
      <sz val="11"/>
    </font>
    <font>
      <name val="Book Antiqua"/>
      <family val="1"/>
      <color indexed="22"/>
      <sz val="12"/>
    </font>
    <font>
      <name val="Calibri"/>
      <family val="2"/>
      <b val="1"/>
      <i val="1"/>
      <color indexed="8"/>
      <sz val="12"/>
    </font>
    <font>
      <name val="Calibri"/>
      <family val="2"/>
      <color theme="1"/>
      <sz val="11"/>
      <scheme val="minor"/>
    </font>
    <font>
      <name val="Calibri"/>
      <family val="2"/>
      <color theme="10"/>
      <sz val="12"/>
      <u val="single"/>
      <scheme val="minor"/>
    </font>
    <font>
      <name val="Calibri"/>
      <charset val="1"/>
      <family val="2"/>
      <color theme="1"/>
      <sz val="11"/>
      <scheme val="minor"/>
    </font>
    <font>
      <name val="Calibri"/>
      <family val="2"/>
      <b val="1"/>
      <color theme="1"/>
      <sz val="11"/>
      <scheme val="minor"/>
    </font>
    <font>
      <name val="Book Antiqua"/>
      <family val="1"/>
      <b val="1"/>
      <color theme="0"/>
      <sz val="12"/>
    </font>
    <font>
      <name val="Book Antiqua"/>
      <family val="1"/>
      <b val="1"/>
      <color rgb="FFD7D7D7"/>
      <sz val="12"/>
    </font>
    <font>
      <name val="Calibri"/>
      <family val="2"/>
      <color theme="0"/>
      <sz val="12"/>
    </font>
    <font>
      <name val="Calibri"/>
      <family val="2"/>
      <color rgb="FFD7D7D7"/>
      <sz val="12"/>
    </font>
    <font>
      <name val="Calibri"/>
      <family val="2"/>
      <color theme="0" tint="-0.249977111117893"/>
      <sz val="12"/>
    </font>
    <font>
      <name val="Book Antiqua"/>
      <family val="1"/>
      <color rgb="FFD7D7D7"/>
      <sz val="12"/>
    </font>
    <font>
      <name val="Book Antiqua"/>
      <family val="1"/>
      <color theme="1"/>
      <sz val="12"/>
    </font>
    <font>
      <name val="Calibri"/>
      <family val="2"/>
      <b val="1"/>
      <color rgb="FFD7D7D7"/>
      <sz val="12"/>
    </font>
    <font>
      <name val="Book Antiqua"/>
      <family val="1"/>
      <color theme="0"/>
      <sz val="12"/>
    </font>
    <font>
      <name val="Arial"/>
      <family val="2"/>
      <color theme="0"/>
      <sz val="10"/>
    </font>
    <font>
      <name val="Calibri"/>
      <family val="2"/>
      <color rgb="FFC00000"/>
      <sz val="12"/>
    </font>
    <font>
      <name val="Book Antiqua"/>
      <family val="1"/>
      <b val="1"/>
      <color theme="1"/>
      <sz val="12"/>
    </font>
    <font>
      <name val="Book Antiqua"/>
      <family val="1"/>
      <color rgb="FFD7D7D7"/>
      <sz val="11"/>
    </font>
    <font>
      <name val="Calibri"/>
      <family val="2"/>
      <color rgb="FFD7D7D7"/>
      <sz val="11"/>
    </font>
    <font>
      <name val="Book Antiqua"/>
      <family val="1"/>
      <i val="1"/>
      <color theme="0"/>
      <sz val="12"/>
    </font>
    <font>
      <name val="Calibri"/>
      <family val="2"/>
      <sz val="12"/>
      <scheme val="minor"/>
    </font>
    <font>
      <name val="Calibri"/>
      <family val="2"/>
      <color theme="1"/>
      <sz val="12"/>
    </font>
    <font>
      <name val="Calibri"/>
      <family val="2"/>
      <sz val="11"/>
      <scheme val="minor"/>
    </font>
    <font>
      <name val="Book Antiqua"/>
      <family val="1"/>
      <b val="1"/>
      <color rgb="FF252525"/>
      <sz val="12"/>
    </font>
    <font>
      <name val="Calibri"/>
      <family val="2"/>
      <b val="1"/>
      <sz val="11"/>
      <scheme val="minor"/>
    </font>
    <font>
      <name val="Book Antiqua"/>
      <family val="1"/>
      <b val="1"/>
      <color theme="0"/>
      <sz val="14"/>
    </font>
    <font>
      <name val="Calibri"/>
      <family val="2"/>
      <color theme="0" tint="-0.1499984740745262"/>
      <sz val="12"/>
    </font>
    <font>
      <name val="Calibri"/>
      <family val="2"/>
      <b val="1"/>
      <color rgb="FF252525"/>
      <sz val="11"/>
    </font>
    <font>
      <name val="Calibri"/>
      <family val="2"/>
      <color rgb="FF252525"/>
      <sz val="11"/>
      <scheme val="minor"/>
    </font>
    <font>
      <name val="Calibri"/>
      <family val="2"/>
      <color rgb="FFFF0000"/>
      <sz val="12"/>
    </font>
    <font>
      <name val="Book Antiqua"/>
      <family val="1"/>
      <b val="1"/>
      <color rgb="FF002060"/>
      <sz val="12"/>
    </font>
    <font>
      <name val="Book Antiqua"/>
      <family val="1"/>
      <color theme="0" tint="-0.1499984740745262"/>
      <sz val="12"/>
    </font>
    <font>
      <name val="Calibri"/>
      <family val="2"/>
      <color theme="2"/>
      <sz val="12"/>
    </font>
    <font>
      <name val="Book Antiqua"/>
      <family val="1"/>
      <color theme="2"/>
      <sz val="12"/>
    </font>
    <font>
      <name val="Calibri"/>
      <family val="2"/>
      <color theme="0" tint="-0.1499984740745262"/>
      <sz val="11"/>
    </font>
    <font>
      <name val="Calibri"/>
      <family val="2"/>
      <b val="1"/>
      <color theme="0" tint="-0.1499984740745262"/>
      <sz val="12"/>
    </font>
    <font>
      <name val="Calibri"/>
      <family val="2"/>
      <b val="1"/>
      <i val="1"/>
      <color theme="0" tint="-0.1499984740745262"/>
      <sz val="12"/>
    </font>
    <font>
      <name val="Calibri"/>
      <family val="2"/>
      <i val="1"/>
      <color theme="0" tint="-0.1499984740745262"/>
      <sz val="12"/>
    </font>
    <font>
      <name val="Calibri"/>
      <family val="2"/>
      <b val="1"/>
      <color rgb="FFFF0000"/>
      <sz val="16"/>
    </font>
    <font>
      <name val="Book Antiqua"/>
      <family val="1"/>
      <b val="1"/>
      <color theme="0" tint="-0.0499893185216834"/>
      <sz val="12"/>
    </font>
  </fonts>
  <fills count="41">
    <fill>
      <patternFill/>
    </fill>
    <fill>
      <patternFill patternType="gray125"/>
    </fill>
    <fill>
      <patternFill patternType="solid">
        <fgColor indexed="9"/>
        <bgColor indexed="26"/>
      </patternFill>
    </fill>
    <fill>
      <patternFill patternType="solid">
        <fgColor indexed="44"/>
        <bgColor indexed="31"/>
      </patternFill>
    </fill>
    <fill>
      <patternFill patternType="solid">
        <fgColor indexed="22"/>
        <bgColor indexed="31"/>
      </patternFill>
    </fill>
    <fill>
      <patternFill patternType="solid">
        <fgColor indexed="55"/>
        <bgColor indexed="23"/>
      </patternFill>
    </fill>
    <fill>
      <patternFill patternType="solid">
        <fgColor indexed="43"/>
        <bgColor indexed="64"/>
      </patternFill>
    </fill>
    <fill>
      <patternFill patternType="solid">
        <fgColor indexed="56"/>
        <bgColor indexed="62"/>
      </patternFill>
    </fill>
    <fill>
      <patternFill patternType="solid">
        <fgColor indexed="63"/>
        <bgColor indexed="59"/>
      </patternFill>
    </fill>
    <fill>
      <patternFill patternType="solid">
        <fgColor rgb="FFEEEEEE"/>
        <bgColor indexed="64"/>
      </patternFill>
    </fill>
    <fill>
      <patternFill patternType="solid">
        <fgColor rgb="FF929292"/>
        <bgColor indexed="64"/>
      </patternFill>
    </fill>
    <fill>
      <patternFill patternType="solid">
        <fgColor rgb="FF252525"/>
        <bgColor indexed="31"/>
      </patternFill>
    </fill>
    <fill>
      <patternFill patternType="solid">
        <fgColor rgb="FFE4E4E4"/>
        <bgColor indexed="31"/>
      </patternFill>
    </fill>
    <fill>
      <patternFill patternType="solid">
        <fgColor theme="0"/>
        <bgColor indexed="41"/>
      </patternFill>
    </fill>
    <fill>
      <patternFill patternType="solid">
        <fgColor rgb="FFD7D7D7"/>
        <bgColor indexed="31"/>
      </patternFill>
    </fill>
    <fill>
      <patternFill patternType="solid">
        <fgColor rgb="FF252525"/>
        <bgColor indexed="64"/>
      </patternFill>
    </fill>
    <fill>
      <patternFill patternType="solid">
        <fgColor rgb="FFFFFFFF"/>
        <bgColor indexed="64"/>
      </patternFill>
    </fill>
    <fill>
      <patternFill patternType="solid">
        <fgColor rgb="FF252525"/>
        <bgColor indexed="62"/>
      </patternFill>
    </fill>
    <fill>
      <patternFill patternType="solid">
        <fgColor theme="0"/>
        <bgColor indexed="64"/>
      </patternFill>
    </fill>
    <fill>
      <patternFill patternType="solid">
        <fgColor rgb="FFFF0000"/>
        <bgColor indexed="64"/>
      </patternFill>
    </fill>
    <fill>
      <patternFill patternType="solid">
        <fgColor rgb="FFFF3F3E"/>
        <bgColor indexed="64"/>
      </patternFill>
    </fill>
    <fill>
      <patternFill patternType="solid">
        <fgColor theme="0" tint="-0.249977111117893"/>
        <bgColor indexed="64"/>
      </patternFill>
    </fill>
    <fill>
      <patternFill patternType="solid">
        <fgColor theme="0" tint="-0.249977111117893"/>
        <bgColor indexed="31"/>
      </patternFill>
    </fill>
    <fill>
      <patternFill patternType="solid">
        <fgColor rgb="FFFF3F3E"/>
        <bgColor indexed="62"/>
      </patternFill>
    </fill>
    <fill>
      <patternFill patternType="solid">
        <fgColor rgb="FF929292"/>
        <bgColor indexed="31"/>
      </patternFill>
    </fill>
    <fill>
      <patternFill patternType="solid">
        <fgColor rgb="FFD7D7D7"/>
        <bgColor indexed="23"/>
      </patternFill>
    </fill>
    <fill>
      <patternFill patternType="solid">
        <fgColor rgb="FFD7D7D7"/>
        <bgColor indexed="64"/>
      </patternFill>
    </fill>
    <fill>
      <patternFill patternType="solid">
        <fgColor rgb="FF929292"/>
        <bgColor indexed="23"/>
      </patternFill>
    </fill>
    <fill>
      <patternFill patternType="solid">
        <fgColor rgb="FFE4E4E4"/>
        <bgColor indexed="23"/>
      </patternFill>
    </fill>
    <fill>
      <patternFill patternType="solid">
        <fgColor theme="4" tint="0.7999816888943144"/>
        <bgColor indexed="64"/>
      </patternFill>
    </fill>
    <fill>
      <patternFill patternType="solid">
        <fgColor rgb="FFE4E4E4"/>
        <bgColor indexed="64"/>
      </patternFill>
    </fill>
    <fill>
      <patternFill patternType="solid">
        <fgColor theme="0" tint="-0.1499984740745262"/>
        <bgColor indexed="64"/>
      </patternFill>
    </fill>
    <fill>
      <patternFill patternType="solid">
        <fgColor theme="4" tint="0.5999938962981048"/>
        <bgColor indexed="64"/>
      </patternFill>
    </fill>
    <fill>
      <patternFill patternType="solid">
        <fgColor theme="2" tint="-0.09997863704336681"/>
        <bgColor indexed="64"/>
      </patternFill>
    </fill>
    <fill>
      <patternFill patternType="solid">
        <fgColor theme="9" tint="-0.249977111117893"/>
        <bgColor indexed="64"/>
      </patternFill>
    </fill>
    <fill>
      <patternFill patternType="solid">
        <fgColor theme="0"/>
        <bgColor indexed="23"/>
      </patternFill>
    </fill>
    <fill>
      <patternFill patternType="solid">
        <fgColor theme="0" tint="-0.1499984740745262"/>
        <bgColor indexed="31"/>
      </patternFill>
    </fill>
    <fill>
      <patternFill patternType="solid">
        <fgColor rgb="FF92D050"/>
        <bgColor indexed="31"/>
      </patternFill>
    </fill>
    <fill>
      <patternFill patternType="solid">
        <fgColor theme="0" tint="-0.0499893185216834"/>
        <bgColor indexed="64"/>
      </patternFill>
    </fill>
    <fill>
      <patternFill patternType="solid">
        <fgColor theme="6"/>
        <bgColor indexed="64"/>
      </patternFill>
    </fill>
    <fill>
      <patternFill patternType="solid">
        <fgColor indexed="55"/>
        <bgColor indexed="64"/>
      </patternFill>
    </fill>
  </fills>
  <borders count="91">
    <border>
      <left/>
      <right/>
      <top/>
      <bottom/>
      <diagonal/>
    </border>
    <border>
      <left style="thin">
        <color indexed="64"/>
      </left>
      <right style="thin">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thin">
        <color indexed="8"/>
      </left>
      <right/>
      <top/>
      <bottom/>
      <diagonal/>
    </border>
    <border>
      <left/>
      <right style="thin">
        <color indexed="8"/>
      </right>
      <top/>
      <bottom/>
      <diagonal/>
    </border>
    <border>
      <left style="thin">
        <color indexed="8"/>
      </left>
      <right/>
      <top style="thin">
        <color indexed="8"/>
      </top>
      <bottom/>
      <diagonal/>
    </border>
    <border>
      <left/>
      <right/>
      <top style="thin">
        <color indexed="8"/>
      </top>
      <bottom/>
      <diagonal/>
    </border>
    <border>
      <left/>
      <right style="thin">
        <color indexed="8"/>
      </right>
      <top style="thin">
        <color indexed="8"/>
      </top>
      <bottom/>
      <diagonal/>
    </border>
    <border>
      <left/>
      <right/>
      <top style="thin">
        <color indexed="8"/>
      </top>
      <bottom style="thin">
        <color indexed="8"/>
      </bottom>
      <diagonal/>
    </border>
    <border>
      <left style="thin">
        <color indexed="8"/>
      </left>
      <right/>
      <top style="thin">
        <color indexed="8"/>
      </top>
      <bottom style="thin">
        <color indexed="8"/>
      </bottom>
      <diagonal/>
    </border>
    <border>
      <left style="thin">
        <color indexed="64"/>
      </left>
      <right style="thin">
        <color indexed="64"/>
      </right>
      <top/>
      <bottom style="thin">
        <color indexed="64"/>
      </bottom>
      <diagonal/>
    </border>
    <border>
      <left style="thin">
        <color indexed="8"/>
      </left>
      <right style="thin">
        <color indexed="8"/>
      </right>
      <top style="thin">
        <color indexed="8"/>
      </top>
      <bottom/>
      <diagonal/>
    </border>
    <border>
      <left style="thin">
        <color indexed="8"/>
      </left>
      <right style="thin">
        <color indexed="8"/>
      </right>
      <top/>
      <bottom style="thin">
        <color indexed="8"/>
      </bottom>
      <diagonal/>
    </border>
    <border>
      <left/>
      <right style="thin">
        <color indexed="8"/>
      </right>
      <top style="thin">
        <color indexed="8"/>
      </top>
      <bottom style="thin">
        <color indexed="8"/>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8"/>
      </left>
      <right style="thin">
        <color indexed="8"/>
      </right>
      <top/>
      <bottom/>
      <diagonal/>
    </border>
    <border>
      <left/>
      <right/>
      <top/>
      <bottom style="thin">
        <color indexed="8"/>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8"/>
      </left>
      <right style="thin">
        <color indexed="8"/>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style="thin">
        <color indexed="8"/>
      </right>
      <top style="thin">
        <color indexed="64"/>
      </top>
      <bottom/>
      <diagonal/>
    </border>
    <border>
      <left style="thin">
        <color indexed="8"/>
      </left>
      <right style="thin">
        <color indexed="8"/>
      </right>
      <top style="thin">
        <color indexed="64"/>
      </top>
      <bottom/>
      <diagonal/>
    </border>
    <border>
      <left style="thin">
        <color indexed="8"/>
      </left>
      <right style="medium">
        <color indexed="64"/>
      </right>
      <top style="thin">
        <color indexed="64"/>
      </top>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diagonal/>
    </border>
    <border>
      <left style="thin">
        <color indexed="8"/>
      </left>
      <right style="thin">
        <color indexed="8"/>
      </right>
      <top style="thin">
        <color indexed="64"/>
      </top>
      <bottom style="thin">
        <color indexed="8"/>
      </bottom>
      <diagonal/>
    </border>
    <border>
      <left style="medium">
        <color indexed="64"/>
      </left>
      <right style="thin">
        <color indexed="8"/>
      </right>
      <top style="thin">
        <color indexed="8"/>
      </top>
      <bottom style="thin">
        <color indexed="8"/>
      </bottom>
      <diagonal/>
    </border>
    <border>
      <left style="thin">
        <color indexed="8"/>
      </left>
      <right style="medium">
        <color indexed="64"/>
      </right>
      <top style="thin">
        <color indexed="64"/>
      </top>
      <bottom style="thin">
        <color indexed="8"/>
      </bottom>
      <diagonal/>
    </border>
    <border>
      <left style="medium">
        <color indexed="64"/>
      </left>
      <right style="medium">
        <color indexed="64"/>
      </right>
      <top style="thin">
        <color indexed="8"/>
      </top>
      <bottom style="thin">
        <color indexed="8"/>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8"/>
      </left>
      <right style="thin">
        <color indexed="64"/>
      </right>
      <top style="thin">
        <color indexed="64"/>
      </top>
      <bottom style="thin">
        <color indexed="64"/>
      </bottom>
      <diagonal/>
    </border>
    <border>
      <left style="thin">
        <color indexed="8"/>
      </left>
      <right/>
      <top/>
      <bottom style="thin">
        <color indexed="8"/>
      </bottom>
      <diagonal/>
    </border>
    <border>
      <left/>
      <right/>
      <top style="thin">
        <color indexed="8"/>
      </top>
      <bottom style="medium">
        <color indexed="64"/>
      </bottom>
      <diagonal/>
    </border>
    <border>
      <left/>
      <right style="medium">
        <color indexed="64"/>
      </right>
      <top style="thin">
        <color indexed="8"/>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top style="thin">
        <color indexed="64"/>
      </top>
      <bottom style="thin">
        <color indexed="8"/>
      </bottom>
      <diagonal/>
    </border>
    <border>
      <left style="thin">
        <color indexed="8"/>
      </left>
      <right/>
      <top style="thin">
        <color indexed="64"/>
      </top>
      <bottom/>
      <diagonal/>
    </border>
    <border>
      <left/>
      <right style="thin">
        <color indexed="8"/>
      </right>
      <top style="thin">
        <color indexed="64"/>
      </top>
      <bottom style="thin">
        <color indexed="8"/>
      </bottom>
      <diagonal/>
    </border>
    <border>
      <left/>
      <right style="thin">
        <color indexed="8"/>
      </right>
      <top/>
      <bottom style="thin">
        <color indexed="64"/>
      </bottom>
      <diagonal/>
    </border>
    <border>
      <left style="thin">
        <color theme="1"/>
      </left>
      <right style="thin">
        <color theme="1"/>
      </right>
      <top style="thin">
        <color theme="1"/>
      </top>
      <bottom style="thin">
        <color theme="1"/>
      </bottom>
      <diagonal/>
    </border>
    <border>
      <left style="thin">
        <color theme="1"/>
      </left>
      <right style="thin">
        <color theme="1"/>
      </right>
      <top style="thin">
        <color theme="1"/>
      </top>
      <bottom/>
      <diagonal/>
    </border>
    <border>
      <left style="thin">
        <color theme="1"/>
      </left>
      <right style="thin">
        <color theme="1"/>
      </right>
      <top/>
      <bottom style="thin">
        <color theme="1"/>
      </bottom>
      <diagonal/>
    </border>
    <border>
      <left/>
      <right style="thin">
        <color theme="1"/>
      </right>
      <top style="thin">
        <color theme="1"/>
      </top>
      <bottom style="thin">
        <color theme="1"/>
      </bottom>
      <diagonal/>
    </border>
    <border>
      <left style="thin">
        <color theme="0"/>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1"/>
      </top>
      <bottom/>
      <diagonal/>
    </border>
    <border>
      <left/>
      <right style="thin">
        <color indexed="64"/>
      </right>
      <top style="thin">
        <color theme="1"/>
      </top>
      <bottom/>
      <diagonal/>
    </border>
    <border>
      <left/>
      <right/>
      <top/>
      <bottom style="thin">
        <color theme="1"/>
      </bottom>
      <diagonal/>
    </border>
    <border>
      <left/>
      <right style="thin">
        <color theme="1"/>
      </right>
      <top/>
      <bottom style="thin">
        <color theme="1"/>
      </bottom>
      <diagonal/>
    </border>
    <border>
      <left style="thin">
        <color theme="1"/>
      </left>
      <right/>
      <top style="thin">
        <color theme="1"/>
      </top>
      <bottom style="thin">
        <color theme="1"/>
      </bottom>
      <diagonal/>
    </border>
    <border>
      <left/>
      <right style="thin">
        <color theme="1"/>
      </right>
      <top/>
      <bottom/>
      <diagonal/>
    </border>
    <border>
      <left/>
      <right/>
      <top style="thin">
        <color theme="1"/>
      </top>
      <bottom style="thin">
        <color theme="1"/>
      </bottom>
      <diagonal/>
    </border>
    <border>
      <left style="thin">
        <color theme="0"/>
      </left>
      <right/>
      <top style="thin">
        <color indexed="64"/>
      </top>
      <bottom style="thin">
        <color indexed="8"/>
      </bottom>
      <diagonal/>
    </border>
    <border>
      <left style="thin">
        <color theme="0"/>
      </left>
      <right/>
      <top/>
      <bottom style="thin">
        <color indexed="8"/>
      </bottom>
      <diagonal/>
    </border>
    <border>
      <left style="thin">
        <color indexed="64"/>
      </left>
      <right style="thin">
        <color indexed="64"/>
      </right>
      <top style="thin">
        <color indexed="64"/>
      </top>
      <bottom style="thin">
        <color theme="0"/>
      </bottom>
      <diagonal/>
    </border>
    <border>
      <left/>
      <right style="thin">
        <color indexed="8"/>
      </right>
      <top/>
      <bottom style="thin">
        <color indexed="8"/>
      </bottom>
      <diagonal/>
    </border>
    <border>
      <left style="medium">
        <color indexed="64"/>
      </left>
      <right style="medium">
        <color indexed="64"/>
      </right>
      <top style="thin">
        <color indexed="8"/>
      </top>
      <bottom style="medium">
        <color indexed="64"/>
      </bottom>
      <diagonal/>
    </border>
    <border>
      <left/>
      <right style="thin">
        <color theme="0"/>
      </right>
      <top style="thin">
        <color theme="0"/>
      </top>
      <bottom style="thin">
        <color theme="0"/>
      </bottom>
      <diagonal/>
    </border>
    <border>
      <left/>
      <right/>
      <top style="thin">
        <color theme="0"/>
      </top>
      <bottom style="thin">
        <color theme="0"/>
      </bottom>
      <diagonal/>
    </border>
    <border>
      <left style="thin">
        <color theme="1"/>
      </left>
      <right style="thin">
        <color indexed="64"/>
      </right>
      <top style="thin">
        <color theme="1"/>
      </top>
      <bottom/>
      <diagonal/>
    </border>
    <border>
      <left/>
      <right style="thin">
        <color indexed="64"/>
      </right>
      <top style="thin">
        <color indexed="64"/>
      </top>
      <bottom style="thin">
        <color theme="0"/>
      </bottom>
      <diagonal/>
    </border>
    <border>
      <left style="thin">
        <color indexed="64"/>
      </left>
      <right style="thin">
        <color indexed="8"/>
      </right>
      <top/>
      <bottom style="thin">
        <color indexed="64"/>
      </bottom>
      <diagonal/>
    </border>
    <border>
      <left/>
      <right style="medium">
        <color indexed="64"/>
      </right>
      <top style="thin">
        <color indexed="8"/>
      </top>
      <bottom/>
      <diagonal/>
    </border>
    <border>
      <left/>
      <right style="medium">
        <color indexed="64"/>
      </right>
      <top style="thin">
        <color indexed="64"/>
      </top>
      <bottom/>
      <diagonal/>
    </border>
    <border>
      <left/>
      <right/>
      <top style="thin">
        <color theme="0"/>
      </top>
      <bottom/>
      <diagonal/>
    </border>
    <border>
      <left/>
      <right style="thin">
        <color theme="0"/>
      </right>
      <top style="thin">
        <color theme="0"/>
      </top>
      <bottom/>
      <diagonal/>
    </border>
    <border>
      <left/>
      <right style="thin">
        <color theme="1"/>
      </right>
      <top style="thin">
        <color theme="1"/>
      </top>
      <bottom/>
      <diagonal/>
    </border>
    <border>
      <left/>
      <right style="thin">
        <color indexed="8"/>
      </right>
      <top style="thin">
        <color indexed="64"/>
      </top>
      <bottom/>
      <diagonal/>
    </border>
    <border>
      <left style="thin">
        <color indexed="64"/>
      </left>
      <right style="thin">
        <color indexed="64"/>
      </right>
      <top/>
      <bottom/>
      <diagonal/>
    </border>
  </borders>
  <cellStyleXfs count="129">
    <xf numFmtId="0" fontId="11" fillId="0" borderId="0"/>
    <xf numFmtId="0" fontId="18" fillId="9" borderId="1" applyAlignment="1">
      <alignment horizontal="left" wrapText="1"/>
    </xf>
    <xf numFmtId="0" fontId="11" fillId="0" borderId="2"/>
    <xf numFmtId="49" fontId="26" fillId="9" borderId="1" applyAlignment="1">
      <alignment horizontal="left" wrapText="1"/>
    </xf>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4"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 fillId="0" borderId="0"/>
    <xf numFmtId="0" fontId="11" fillId="0" borderId="0"/>
    <xf numFmtId="0" fontId="11" fillId="0" borderId="0"/>
    <xf numFmtId="0" fontId="1" fillId="0" borderId="0"/>
    <xf numFmtId="0" fontId="1" fillId="0" borderId="0"/>
    <xf numFmtId="0" fontId="11" fillId="0" borderId="0"/>
    <xf numFmtId="0" fontId="1" fillId="0" borderId="0"/>
    <xf numFmtId="0" fontId="11" fillId="0" borderId="0"/>
    <xf numFmtId="0" fontId="1" fillId="0" borderId="0"/>
    <xf numFmtId="0" fontId="11" fillId="0" borderId="0"/>
    <xf numFmtId="0" fontId="1" fillId="0" borderId="0"/>
    <xf numFmtId="0" fontId="11" fillId="0" borderId="0"/>
    <xf numFmtId="0" fontId="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 fillId="0" borderId="0"/>
    <xf numFmtId="0" fontId="25" fillId="0" borderId="0"/>
    <xf numFmtId="0" fontId="11" fillId="0" borderId="0"/>
    <xf numFmtId="0" fontId="11" fillId="0" borderId="0"/>
    <xf numFmtId="0" fontId="11" fillId="0" borderId="0"/>
    <xf numFmtId="0" fontId="11" fillId="0" borderId="0"/>
    <xf numFmtId="0" fontId="11" fillId="0" borderId="0"/>
    <xf numFmtId="0" fontId="25" fillId="0" borderId="0"/>
    <xf numFmtId="0" fontId="25" fillId="0" borderId="0"/>
    <xf numFmtId="0" fontId="11" fillId="0" borderId="0"/>
    <xf numFmtId="0" fontId="25" fillId="0" borderId="0"/>
    <xf numFmtId="0" fontId="25" fillId="0" borderId="0"/>
    <xf numFmtId="0" fontId="25" fillId="0" borderId="0"/>
    <xf numFmtId="0" fontId="11" fillId="0" borderId="0"/>
    <xf numFmtId="0" fontId="11" fillId="0" borderId="0"/>
    <xf numFmtId="0" fontId="11" fillId="0" borderId="0"/>
    <xf numFmtId="0" fontId="11" fillId="0" borderId="0"/>
    <xf numFmtId="0" fontId="11" fillId="0" borderId="0"/>
    <xf numFmtId="0" fontId="11"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1" fillId="0" borderId="0"/>
    <xf numFmtId="0" fontId="11"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25" fillId="0" borderId="0"/>
    <xf numFmtId="0" fontId="11" fillId="0" borderId="0"/>
    <xf numFmtId="0" fontId="27"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cellStyleXfs>
  <cellXfs count="596">
    <xf numFmtId="0" fontId="0" fillId="0" borderId="0" pivotButton="0" quotePrefix="0" xfId="0"/>
    <xf numFmtId="0" fontId="2" fillId="0" borderId="0" pivotButton="0" quotePrefix="0" xfId="0"/>
    <xf numFmtId="0" fontId="3" fillId="0" borderId="0" pivotButton="0" quotePrefix="0" xfId="0"/>
    <xf numFmtId="49" fontId="0" fillId="0" borderId="0" pivotButton="0" quotePrefix="0" xfId="0"/>
    <xf numFmtId="0" fontId="0" fillId="0" borderId="0" applyAlignment="1" pivotButton="0" quotePrefix="0" xfId="0">
      <alignment horizontal="left" indent="15"/>
    </xf>
    <xf numFmtId="0" fontId="0" fillId="0" borderId="0" applyAlignment="1" pivotButton="0" quotePrefix="0" xfId="0">
      <alignment wrapText="1"/>
    </xf>
    <xf numFmtId="17" fontId="0" fillId="0" borderId="0" pivotButton="0" quotePrefix="0" xfId="0"/>
    <xf numFmtId="0" fontId="1" fillId="0" borderId="0" pivotButton="0" quotePrefix="0" xfId="35"/>
    <xf numFmtId="0" fontId="6" fillId="2" borderId="3" pivotButton="0" quotePrefix="0" xfId="35"/>
    <xf numFmtId="0" fontId="6" fillId="2" borderId="0" pivotButton="0" quotePrefix="0" xfId="35"/>
    <xf numFmtId="0" fontId="6" fillId="2" borderId="4" pivotButton="0" quotePrefix="0" xfId="35"/>
    <xf numFmtId="0" fontId="7" fillId="2" borderId="3" pivotButton="0" quotePrefix="0" xfId="35"/>
    <xf numFmtId="0" fontId="6" fillId="2" borderId="2" pivotButton="0" quotePrefix="0" xfId="35"/>
    <xf numFmtId="0" fontId="6" fillId="2" borderId="2" applyAlignment="1" pivotButton="0" quotePrefix="0" xfId="35">
      <alignment wrapText="1"/>
    </xf>
    <xf numFmtId="0" fontId="6" fillId="2" borderId="5" pivotButton="0" quotePrefix="0" xfId="35"/>
    <xf numFmtId="0" fontId="6" fillId="2" borderId="6" pivotButton="0" quotePrefix="0" xfId="35"/>
    <xf numFmtId="0" fontId="6" fillId="2" borderId="7" pivotButton="0" quotePrefix="0" xfId="35"/>
    <xf numFmtId="0" fontId="5" fillId="3" borderId="2" applyAlignment="1" pivotButton="0" quotePrefix="0" xfId="0">
      <alignment horizontal="center" vertical="top" wrapText="1"/>
    </xf>
    <xf numFmtId="0" fontId="5" fillId="3" borderId="8" applyAlignment="1" pivotButton="0" quotePrefix="0" xfId="0">
      <alignment horizontal="center" vertical="top" wrapText="1"/>
    </xf>
    <xf numFmtId="0" fontId="5" fillId="3" borderId="9" applyAlignment="1" pivotButton="0" quotePrefix="0" xfId="0">
      <alignment horizontal="center" vertical="top" wrapText="1"/>
    </xf>
    <xf numFmtId="11" fontId="0" fillId="0" borderId="0" pivotButton="0" quotePrefix="0" xfId="0"/>
    <xf numFmtId="0" fontId="6" fillId="2" borderId="4" applyAlignment="1" pivotButton="0" quotePrefix="0" xfId="35">
      <alignment wrapText="1"/>
    </xf>
    <xf numFmtId="4" fontId="6" fillId="10" borderId="2" applyAlignment="1" pivotButton="0" quotePrefix="0" xfId="0">
      <alignment horizontal="right" wrapText="1"/>
    </xf>
    <xf numFmtId="0" fontId="29" fillId="11" borderId="1" applyAlignment="1" pivotButton="0" quotePrefix="0" xfId="0">
      <alignment horizontal="center" wrapText="1"/>
    </xf>
    <xf numFmtId="0" fontId="2" fillId="12" borderId="1" applyAlignment="1" pivotButton="0" quotePrefix="0" xfId="0">
      <alignment vertical="top" wrapText="1"/>
    </xf>
    <xf numFmtId="0" fontId="29" fillId="11" borderId="2" applyAlignment="1" pivotButton="0" quotePrefix="0" xfId="0">
      <alignment horizontal="center" vertical="center"/>
    </xf>
    <xf numFmtId="0" fontId="29" fillId="11" borderId="1" applyAlignment="1" pivotButton="0" quotePrefix="0" xfId="0">
      <alignment horizontal="center" vertical="center" wrapText="1"/>
    </xf>
    <xf numFmtId="0" fontId="10" fillId="12" borderId="2" applyAlignment="1" pivotButton="0" quotePrefix="0" xfId="0">
      <alignment horizontal="left" wrapText="1"/>
    </xf>
    <xf numFmtId="49" fontId="6" fillId="13" borderId="2" applyAlignment="1" applyProtection="1" pivotButton="0" quotePrefix="0" xfId="0">
      <alignment wrapText="1"/>
      <protection locked="0" hidden="0"/>
    </xf>
    <xf numFmtId="0" fontId="2" fillId="12" borderId="2" applyAlignment="1" pivotButton="0" quotePrefix="0" xfId="0">
      <alignment horizontal="left" wrapText="1"/>
    </xf>
    <xf numFmtId="49" fontId="6" fillId="13" borderId="2" applyAlignment="1" applyProtection="1" pivotButton="0" quotePrefix="0" xfId="0">
      <alignment horizontal="left" wrapText="1"/>
      <protection locked="0" hidden="0"/>
    </xf>
    <xf numFmtId="4" fontId="6" fillId="13" borderId="2" applyAlignment="1" applyProtection="1" pivotButton="0" quotePrefix="0" xfId="0">
      <alignment horizontal="right" wrapText="1"/>
      <protection locked="0" hidden="0"/>
    </xf>
    <xf numFmtId="0" fontId="30" fillId="14" borderId="0" applyAlignment="1" pivotButton="0" quotePrefix="0" xfId="0">
      <alignment horizontal="center" vertical="top" wrapText="1"/>
    </xf>
    <xf numFmtId="0" fontId="29" fillId="15" borderId="1" applyAlignment="1" pivotButton="0" quotePrefix="0" xfId="0">
      <alignment horizontal="center" vertical="center" wrapText="1"/>
    </xf>
    <xf numFmtId="0" fontId="10" fillId="12" borderId="10" applyAlignment="1" pivotButton="0" quotePrefix="0" xfId="0">
      <alignment horizontal="center" vertical="top" wrapText="1"/>
    </xf>
    <xf numFmtId="0" fontId="5" fillId="12" borderId="10" applyAlignment="1" pivotButton="0" quotePrefix="0" xfId="0">
      <alignment horizontal="center" vertical="top" wrapText="1"/>
    </xf>
    <xf numFmtId="49" fontId="6" fillId="16" borderId="61" applyAlignment="1" applyProtection="1" pivotButton="0" quotePrefix="0" xfId="0">
      <alignment wrapText="1"/>
      <protection locked="0" hidden="0"/>
    </xf>
    <xf numFmtId="4" fontId="6" fillId="16" borderId="61" applyAlignment="1" applyProtection="1" pivotButton="0" quotePrefix="0" xfId="0">
      <alignment horizontal="right" wrapText="1"/>
      <protection locked="0" hidden="0"/>
    </xf>
    <xf numFmtId="49" fontId="6" fillId="16" borderId="2" applyAlignment="1" applyProtection="1" pivotButton="0" quotePrefix="0" xfId="0">
      <alignment wrapText="1"/>
      <protection locked="0" hidden="0"/>
    </xf>
    <xf numFmtId="0" fontId="29" fillId="17" borderId="1" applyAlignment="1" pivotButton="0" quotePrefix="0" xfId="52">
      <alignment horizontal="center" vertical="center" wrapText="1"/>
    </xf>
    <xf numFmtId="0" fontId="14" fillId="14" borderId="0" applyAlignment="1" pivotButton="0" quotePrefix="0" xfId="0">
      <alignment horizontal="left" wrapText="1"/>
    </xf>
    <xf numFmtId="49" fontId="2" fillId="18" borderId="1" applyAlignment="1" applyProtection="1" pivotButton="0" quotePrefix="0" xfId="0">
      <alignment horizontal="left" wrapText="1"/>
      <protection locked="0" hidden="0"/>
    </xf>
    <xf numFmtId="0" fontId="2" fillId="13" borderId="1" applyAlignment="1" applyProtection="1" pivotButton="0" quotePrefix="0" xfId="0">
      <alignment horizontal="left" wrapText="1"/>
      <protection locked="0" hidden="0"/>
    </xf>
    <xf numFmtId="49" fontId="2" fillId="16" borderId="1" applyAlignment="1" applyProtection="1" pivotButton="0" quotePrefix="0" xfId="0">
      <alignment horizontal="left" wrapText="1"/>
      <protection locked="0" hidden="0"/>
    </xf>
    <xf numFmtId="4" fontId="2" fillId="10" borderId="1" applyAlignment="1" pivotButton="0" quotePrefix="0" xfId="0">
      <alignment horizontal="right" wrapText="1"/>
    </xf>
    <xf numFmtId="4" fontId="2" fillId="16" borderId="1" applyAlignment="1" applyProtection="1" pivotButton="0" quotePrefix="0" xfId="0">
      <alignment horizontal="right" wrapText="1"/>
      <protection locked="0" hidden="0"/>
    </xf>
    <xf numFmtId="0" fontId="2" fillId="19" borderId="0" pivotButton="0" quotePrefix="0" xfId="0"/>
    <xf numFmtId="0" fontId="14" fillId="0" borderId="0" pivotButton="0" quotePrefix="0" xfId="0"/>
    <xf numFmtId="49" fontId="6" fillId="16" borderId="1" applyAlignment="1" applyProtection="1" pivotButton="0" quotePrefix="0" xfId="0">
      <alignment horizontal="left" wrapText="1"/>
      <protection locked="0" hidden="0"/>
    </xf>
    <xf numFmtId="0" fontId="31" fillId="15" borderId="1" applyAlignment="1" pivotButton="0" quotePrefix="0" xfId="0">
      <alignment horizontal="center" vertical="center" wrapText="1"/>
    </xf>
    <xf numFmtId="4" fontId="2" fillId="16" borderId="1" applyAlignment="1" applyProtection="1" pivotButton="0" quotePrefix="0" xfId="0">
      <alignment horizontal="left" wrapText="1"/>
      <protection locked="0" hidden="0"/>
    </xf>
    <xf numFmtId="0" fontId="32" fillId="14" borderId="0" applyAlignment="1" pivotButton="0" quotePrefix="0" xfId="0">
      <alignment wrapText="1"/>
    </xf>
    <xf numFmtId="0" fontId="14" fillId="14" borderId="0" applyAlignment="1" pivotButton="0" quotePrefix="0" xfId="0">
      <alignment vertical="top" wrapText="1"/>
    </xf>
    <xf numFmtId="49" fontId="6" fillId="16" borderId="1" applyAlignment="1" applyProtection="1" pivotButton="0" quotePrefix="0" xfId="0">
      <alignment wrapText="1"/>
      <protection locked="0" hidden="0"/>
    </xf>
    <xf numFmtId="1" fontId="6" fillId="16" borderId="1" applyAlignment="1" applyProtection="1" pivotButton="0" quotePrefix="0" xfId="0">
      <alignment horizontal="right" wrapText="1"/>
      <protection locked="0" hidden="0"/>
    </xf>
    <xf numFmtId="4" fontId="6" fillId="16" borderId="1" applyAlignment="1" applyProtection="1" pivotButton="0" quotePrefix="0" xfId="0">
      <alignment horizontal="right" wrapText="1"/>
      <protection locked="0" hidden="0"/>
    </xf>
    <xf numFmtId="0" fontId="32" fillId="20" borderId="1" applyAlignment="1" pivotButton="0" quotePrefix="0" xfId="0">
      <alignment horizontal="center" vertical="center" wrapText="1"/>
    </xf>
    <xf numFmtId="0" fontId="32" fillId="15" borderId="1" applyAlignment="1" pivotButton="0" quotePrefix="0" xfId="0">
      <alignment horizontal="center" vertical="center" wrapText="1"/>
    </xf>
    <xf numFmtId="0" fontId="32" fillId="0" borderId="0" pivotButton="0" quotePrefix="0" xfId="0"/>
    <xf numFmtId="0" fontId="33" fillId="21" borderId="0" pivotButton="0" quotePrefix="0" xfId="0"/>
    <xf numFmtId="0" fontId="33" fillId="22" borderId="0" pivotButton="0" quotePrefix="0" xfId="0"/>
    <xf numFmtId="0" fontId="32" fillId="14" borderId="0" pivotButton="0" quotePrefix="0" xfId="0"/>
    <xf numFmtId="0" fontId="29" fillId="23" borderId="1" applyAlignment="1" pivotButton="0" quotePrefix="0" xfId="52">
      <alignment vertical="center" wrapText="1"/>
    </xf>
    <xf numFmtId="0" fontId="32" fillId="14" borderId="1" applyAlignment="1" pivotButton="0" quotePrefix="0" xfId="0">
      <alignment horizontal="center" vertical="center" wrapText="1"/>
    </xf>
    <xf numFmtId="4" fontId="6" fillId="10" borderId="1" applyAlignment="1" pivotButton="0" quotePrefix="0" xfId="0">
      <alignment horizontal="right" wrapText="1"/>
    </xf>
    <xf numFmtId="0" fontId="14" fillId="0" borderId="1" pivotButton="0" quotePrefix="0" xfId="0"/>
    <xf numFmtId="0" fontId="14" fillId="14" borderId="0" pivotButton="0" quotePrefix="0" xfId="0"/>
    <xf numFmtId="4" fontId="6" fillId="4" borderId="0" applyAlignment="1" pivotButton="0" quotePrefix="0" xfId="0">
      <alignment horizontal="right" wrapText="1"/>
    </xf>
    <xf numFmtId="4" fontId="6" fillId="14" borderId="0" applyAlignment="1" pivotButton="0" quotePrefix="0" xfId="0">
      <alignment horizontal="right" wrapText="1"/>
    </xf>
    <xf numFmtId="0" fontId="14" fillId="0" borderId="0" applyAlignment="1" pivotButton="0" quotePrefix="0" xfId="0">
      <alignment vertical="center"/>
    </xf>
    <xf numFmtId="4" fontId="2" fillId="24" borderId="2" applyAlignment="1" pivotButton="0" quotePrefix="0" xfId="0">
      <alignment horizontal="right"/>
    </xf>
    <xf numFmtId="4" fontId="10" fillId="24" borderId="2" applyAlignment="1" pivotButton="0" quotePrefix="0" xfId="0">
      <alignment horizontal="right"/>
    </xf>
    <xf numFmtId="0" fontId="32" fillId="14" borderId="0" applyAlignment="1" pivotButton="0" quotePrefix="0" xfId="0">
      <alignment horizontal="center" vertical="center"/>
    </xf>
    <xf numFmtId="0" fontId="14" fillId="20" borderId="62" applyAlignment="1" pivotButton="0" quotePrefix="0" xfId="0">
      <alignment horizontal="center" vertical="center"/>
    </xf>
    <xf numFmtId="0" fontId="14" fillId="0" borderId="63" applyAlignment="1" pivotButton="0" quotePrefix="0" xfId="0">
      <alignment horizontal="center" vertical="center"/>
    </xf>
    <xf numFmtId="0" fontId="32" fillId="14" borderId="0" applyAlignment="1" pivotButton="0" quotePrefix="0" xfId="0">
      <alignment vertical="center"/>
    </xf>
    <xf numFmtId="0" fontId="14" fillId="0" borderId="61" pivotButton="0" quotePrefix="0" xfId="0"/>
    <xf numFmtId="4" fontId="5" fillId="24" borderId="61" applyAlignment="1" pivotButton="0" quotePrefix="0" xfId="0">
      <alignment horizontal="right" vertical="top" wrapText="1"/>
    </xf>
    <xf numFmtId="0" fontId="15" fillId="14" borderId="0" applyAlignment="1" pivotButton="0" quotePrefix="0" xfId="0">
      <alignment vertical="center"/>
    </xf>
    <xf numFmtId="4" fontId="34" fillId="14" borderId="0" applyAlignment="1" pivotButton="0" quotePrefix="0" xfId="0">
      <alignment horizontal="right" wrapText="1"/>
    </xf>
    <xf numFmtId="0" fontId="14" fillId="0" borderId="1" applyAlignment="1" pivotButton="0" quotePrefix="0" xfId="0">
      <alignment horizontal="center" vertical="center"/>
    </xf>
    <xf numFmtId="49" fontId="6" fillId="13" borderId="1" applyAlignment="1" applyProtection="1" pivotButton="0" quotePrefix="0" xfId="0">
      <alignment wrapText="1"/>
      <protection locked="0" hidden="0"/>
    </xf>
    <xf numFmtId="4" fontId="5" fillId="24" borderId="1" applyAlignment="1" pivotButton="0" quotePrefix="0" xfId="0">
      <alignment horizontal="right" vertical="top" wrapText="1"/>
    </xf>
    <xf numFmtId="4" fontId="2" fillId="13" borderId="2" applyAlignment="1" applyProtection="1" pivotButton="0" quotePrefix="0" xfId="0">
      <alignment horizontal="right" wrapText="1"/>
      <protection locked="0" hidden="0"/>
    </xf>
    <xf numFmtId="0" fontId="16" fillId="14" borderId="0" pivotButton="0" quotePrefix="0" xfId="0"/>
    <xf numFmtId="4" fontId="35" fillId="13" borderId="61" applyAlignment="1" applyProtection="1" pivotButton="0" quotePrefix="0" xfId="0">
      <alignment horizontal="right" wrapText="1"/>
      <protection locked="0" hidden="0"/>
    </xf>
    <xf numFmtId="4" fontId="6" fillId="10" borderId="61" applyAlignment="1" pivotButton="0" quotePrefix="0" xfId="0">
      <alignment horizontal="right" wrapText="1"/>
    </xf>
    <xf numFmtId="0" fontId="16" fillId="12" borderId="0" pivotButton="0" quotePrefix="0" xfId="0"/>
    <xf numFmtId="4" fontId="2" fillId="4" borderId="0" applyAlignment="1" pivotButton="0" quotePrefix="0" xfId="0">
      <alignment horizontal="right"/>
    </xf>
    <xf numFmtId="1" fontId="6" fillId="13" borderId="2" applyAlignment="1" applyProtection="1" pivotButton="0" quotePrefix="0" xfId="0">
      <alignment horizontal="right" wrapText="1"/>
      <protection locked="0" hidden="0"/>
    </xf>
    <xf numFmtId="4" fontId="5" fillId="24" borderId="12" applyAlignment="1" pivotButton="0" quotePrefix="0" xfId="0">
      <alignment horizontal="right" vertical="top" wrapText="1"/>
    </xf>
    <xf numFmtId="0" fontId="32" fillId="4" borderId="0" pivotButton="0" quotePrefix="0" xfId="0"/>
    <xf numFmtId="0" fontId="15" fillId="4" borderId="0" pivotButton="0" quotePrefix="0" xfId="0"/>
    <xf numFmtId="0" fontId="36" fillId="14" borderId="0" applyAlignment="1" pivotButton="0" quotePrefix="0" xfId="14">
      <alignment horizontal="center"/>
    </xf>
    <xf numFmtId="0" fontId="12" fillId="14" borderId="0" applyAlignment="1" pivotButton="0" quotePrefix="0" xfId="14">
      <alignment horizontal="center"/>
    </xf>
    <xf numFmtId="49" fontId="6" fillId="13" borderId="1" applyAlignment="1" applyProtection="1" pivotButton="0" quotePrefix="0" xfId="0">
      <alignment horizontal="left" wrapText="1"/>
      <protection locked="0" hidden="0"/>
    </xf>
    <xf numFmtId="4" fontId="6" fillId="13" borderId="1" applyAlignment="1" applyProtection="1" pivotButton="0" quotePrefix="0" xfId="0">
      <alignment wrapText="1"/>
      <protection locked="0" hidden="0"/>
    </xf>
    <xf numFmtId="4" fontId="6" fillId="10" borderId="1" applyAlignment="1" pivotButton="0" quotePrefix="0" xfId="0">
      <alignment wrapText="1"/>
    </xf>
    <xf numFmtId="0" fontId="32" fillId="14" borderId="0" pivotButton="0" quotePrefix="0" xfId="27"/>
    <xf numFmtId="4" fontId="5" fillId="24" borderId="2" applyAlignment="1" pivotButton="0" quotePrefix="0" xfId="0">
      <alignment vertical="top" wrapText="1"/>
    </xf>
    <xf numFmtId="0" fontId="17" fillId="24" borderId="2" applyAlignment="1" pivotButton="0" quotePrefix="0" xfId="27">
      <alignment wrapText="1"/>
    </xf>
    <xf numFmtId="0" fontId="17" fillId="14" borderId="0" pivotButton="0" quotePrefix="0" xfId="27"/>
    <xf numFmtId="0" fontId="32" fillId="14" borderId="0" applyAlignment="1" pivotButton="0" quotePrefix="0" xfId="27">
      <alignment wrapText="1"/>
    </xf>
    <xf numFmtId="0" fontId="17" fillId="4" borderId="0" applyAlignment="1" pivotButton="0" quotePrefix="0" xfId="27">
      <alignment wrapText="1"/>
    </xf>
    <xf numFmtId="0" fontId="14" fillId="0" borderId="0" applyAlignment="1" pivotButton="0" quotePrefix="0" xfId="0">
      <alignment wrapText="1"/>
    </xf>
    <xf numFmtId="3" fontId="6" fillId="10" borderId="2" applyAlignment="1" pivotButton="0" quotePrefix="0" xfId="0">
      <alignment wrapText="1"/>
    </xf>
    <xf numFmtId="4" fontId="6" fillId="24" borderId="2" applyAlignment="1" pivotButton="0" quotePrefix="0" xfId="0">
      <alignment wrapText="1"/>
    </xf>
    <xf numFmtId="0" fontId="14" fillId="4" borderId="0" applyAlignment="1" pivotButton="0" quotePrefix="0" xfId="0">
      <alignment wrapText="1"/>
    </xf>
    <xf numFmtId="0" fontId="17" fillId="14" borderId="0" applyAlignment="1" pivotButton="0" quotePrefix="0" xfId="27">
      <alignment wrapText="1"/>
    </xf>
    <xf numFmtId="0" fontId="33" fillId="22" borderId="0" applyAlignment="1" pivotButton="0" quotePrefix="0" xfId="0">
      <alignment wrapText="1"/>
    </xf>
    <xf numFmtId="4" fontId="5" fillId="24" borderId="2" applyAlignment="1" pivotButton="0" quotePrefix="0" xfId="0">
      <alignment horizontal="right" wrapText="1"/>
    </xf>
    <xf numFmtId="4" fontId="6" fillId="18" borderId="2" applyAlignment="1" applyProtection="1" pivotButton="0" quotePrefix="0" xfId="0">
      <alignment horizontal="right" wrapText="1"/>
      <protection locked="0" hidden="0"/>
    </xf>
    <xf numFmtId="4" fontId="6" fillId="18" borderId="11" applyAlignment="1" applyProtection="1" pivotButton="0" quotePrefix="0" xfId="0">
      <alignment horizontal="right" wrapText="1"/>
      <protection locked="0" hidden="0"/>
    </xf>
    <xf numFmtId="4" fontId="5" fillId="24" borderId="2" applyAlignment="1" pivotButton="0" quotePrefix="0" xfId="0">
      <alignment horizontal="right" vertical="top" wrapText="1"/>
    </xf>
    <xf numFmtId="0" fontId="33" fillId="4" borderId="0" pivotButton="0" quotePrefix="0" xfId="0"/>
    <xf numFmtId="4" fontId="34" fillId="14" borderId="0" applyAlignment="1" pivotButton="0" quotePrefix="0" xfId="0">
      <alignment horizontal="right"/>
    </xf>
    <xf numFmtId="0" fontId="31" fillId="0" borderId="0" applyAlignment="1" pivotButton="0" quotePrefix="0" xfId="0">
      <alignment vertical="top"/>
    </xf>
    <xf numFmtId="4" fontId="2" fillId="14" borderId="0" applyAlignment="1" pivotButton="0" quotePrefix="0" xfId="0">
      <alignment horizontal="right"/>
    </xf>
    <xf numFmtId="0" fontId="2" fillId="12" borderId="2" applyAlignment="1" pivotButton="0" quotePrefix="0" xfId="0">
      <alignment horizontal="center" vertical="center" wrapText="1"/>
    </xf>
    <xf numFmtId="0" fontId="10" fillId="12" borderId="2" applyAlignment="1" pivotButton="0" quotePrefix="0" xfId="0">
      <alignment horizontal="center" vertical="center" wrapText="1"/>
    </xf>
    <xf numFmtId="0" fontId="6" fillId="0" borderId="1" applyAlignment="1" pivotButton="0" quotePrefix="0" xfId="0">
      <alignment vertical="center" wrapText="1"/>
    </xf>
    <xf numFmtId="0" fontId="6" fillId="9" borderId="1" applyAlignment="1" pivotButton="0" quotePrefix="0" xfId="0">
      <alignment wrapText="1"/>
    </xf>
    <xf numFmtId="0" fontId="19" fillId="0" borderId="1" applyAlignment="1" pivotButton="0" quotePrefix="0" xfId="13">
      <alignment wrapText="1"/>
    </xf>
    <xf numFmtId="0" fontId="6" fillId="0" borderId="1" applyAlignment="1" pivotButton="0" quotePrefix="0" xfId="0">
      <alignment wrapText="1"/>
    </xf>
    <xf numFmtId="0" fontId="29" fillId="11" borderId="9" pivotButton="0" quotePrefix="0" xfId="35"/>
    <xf numFmtId="0" fontId="37" fillId="11" borderId="8" pivotButton="0" quotePrefix="0" xfId="35"/>
    <xf numFmtId="0" fontId="37" fillId="11" borderId="13" pivotButton="0" quotePrefix="0" xfId="35"/>
    <xf numFmtId="0" fontId="38" fillId="15" borderId="0" pivotButton="0" quotePrefix="0" xfId="35"/>
    <xf numFmtId="0" fontId="39" fillId="14" borderId="0" pivotButton="0" quotePrefix="0" xfId="0"/>
    <xf numFmtId="4" fontId="5" fillId="10" borderId="1" applyAlignment="1" pivotButton="0" quotePrefix="0" xfId="0">
      <alignment horizontal="right" wrapText="1"/>
    </xf>
    <xf numFmtId="4" fontId="5" fillId="10" borderId="1" applyAlignment="1" pivotButton="0" quotePrefix="0" xfId="0">
      <alignment horizontal="right" vertical="top" wrapText="1"/>
    </xf>
    <xf numFmtId="4" fontId="10" fillId="10" borderId="2" applyAlignment="1" pivotButton="0" quotePrefix="0" xfId="0">
      <alignment horizontal="right" wrapText="1"/>
    </xf>
    <xf numFmtId="4" fontId="5" fillId="10" borderId="61" applyAlignment="1" pivotButton="0" quotePrefix="0" xfId="0">
      <alignment horizontal="right" wrapText="1"/>
    </xf>
    <xf numFmtId="4" fontId="5" fillId="10" borderId="2" applyAlignment="1" pivotButton="0" quotePrefix="0" xfId="0">
      <alignment horizontal="right" wrapText="1"/>
    </xf>
    <xf numFmtId="0" fontId="12" fillId="14" borderId="0" pivotButton="0" quotePrefix="0" xfId="0"/>
    <xf numFmtId="4" fontId="5" fillId="24" borderId="1" applyAlignment="1" pivotButton="0" quotePrefix="0" xfId="0">
      <alignment horizontal="right" wrapText="1"/>
    </xf>
    <xf numFmtId="0" fontId="35" fillId="12" borderId="1" applyAlignment="1" pivotButton="0" quotePrefix="0" xfId="0">
      <alignment horizontal="center" wrapText="1"/>
    </xf>
    <xf numFmtId="0" fontId="40" fillId="12" borderId="1" applyAlignment="1" pivotButton="0" quotePrefix="0" xfId="0">
      <alignment horizontal="center" wrapText="1"/>
    </xf>
    <xf numFmtId="0" fontId="40" fillId="12" borderId="1" applyAlignment="1" pivotButton="0" quotePrefix="0" xfId="0">
      <alignment horizontal="left" wrapText="1"/>
    </xf>
    <xf numFmtId="4" fontId="10" fillId="10" borderId="1" applyAlignment="1" pivotButton="0" quotePrefix="0" xfId="0">
      <alignment horizontal="right" wrapText="1"/>
    </xf>
    <xf numFmtId="49" fontId="41" fillId="25" borderId="0" applyAlignment="1" pivotButton="0" quotePrefix="0" xfId="0">
      <alignment horizontal="left" wrapText="1"/>
    </xf>
    <xf numFmtId="0" fontId="30" fillId="25" borderId="0" applyAlignment="1" pivotButton="0" quotePrefix="0" xfId="0">
      <alignment horizontal="center" vertical="top" wrapText="1"/>
    </xf>
    <xf numFmtId="0" fontId="5" fillId="12" borderId="1" applyAlignment="1" pivotButton="0" quotePrefix="0" xfId="0">
      <alignment horizontal="center" vertical="top" wrapText="1"/>
    </xf>
    <xf numFmtId="0" fontId="42" fillId="26" borderId="0" pivotButton="0" quotePrefix="0" xfId="0"/>
    <xf numFmtId="0" fontId="0" fillId="26" borderId="0" pivotButton="0" quotePrefix="0" xfId="0"/>
    <xf numFmtId="0" fontId="29" fillId="11" borderId="10" applyAlignment="1" pivotButton="0" quotePrefix="0" xfId="0">
      <alignment horizontal="center" vertical="center" wrapText="1"/>
    </xf>
    <xf numFmtId="0" fontId="29" fillId="11" borderId="12" applyAlignment="1" pivotButton="0" quotePrefix="0" xfId="0">
      <alignment horizontal="center" vertical="center" wrapText="1"/>
    </xf>
    <xf numFmtId="0" fontId="10" fillId="12" borderId="1" applyAlignment="1" pivotButton="0" quotePrefix="0" xfId="0">
      <alignment horizontal="center" vertical="top" wrapText="1"/>
    </xf>
    <xf numFmtId="0" fontId="9" fillId="12" borderId="14" applyAlignment="1" pivotButton="0" quotePrefix="0" xfId="0">
      <alignment vertical="top" wrapText="1"/>
    </xf>
    <xf numFmtId="0" fontId="40" fillId="0" borderId="0" applyAlignment="1" pivotButton="0" quotePrefix="0" xfId="32">
      <alignment horizontal="left" wrapText="1"/>
    </xf>
    <xf numFmtId="0" fontId="40" fillId="0" borderId="0" applyAlignment="1" pivotButton="0" quotePrefix="0" xfId="0">
      <alignment horizontal="left" wrapText="1"/>
    </xf>
    <xf numFmtId="0" fontId="35" fillId="0" borderId="0" applyAlignment="1" pivotButton="0" quotePrefix="0" xfId="32">
      <alignment horizontal="left" wrapText="1"/>
    </xf>
    <xf numFmtId="0" fontId="35" fillId="0" borderId="0" applyAlignment="1" pivotButton="0" quotePrefix="0" xfId="0">
      <alignment horizontal="left" wrapText="1"/>
    </xf>
    <xf numFmtId="0" fontId="40" fillId="0" borderId="0" applyAlignment="1" pivotButton="0" quotePrefix="0" xfId="0">
      <alignment horizontal="left" vertical="top" wrapText="1"/>
    </xf>
    <xf numFmtId="0" fontId="3" fillId="0" borderId="0" applyAlignment="1" pivotButton="0" quotePrefix="0" xfId="32">
      <alignment wrapText="1"/>
    </xf>
    <xf numFmtId="0" fontId="3" fillId="0" borderId="0" applyAlignment="1" pivotButton="0" quotePrefix="0" xfId="0">
      <alignment wrapText="1"/>
    </xf>
    <xf numFmtId="0" fontId="0" fillId="0" borderId="0" applyAlignment="1" pivotButton="0" quotePrefix="0" xfId="32">
      <alignment wrapText="1"/>
    </xf>
    <xf numFmtId="0" fontId="6" fillId="13" borderId="2" pivotButton="0" quotePrefix="0" xfId="35"/>
    <xf numFmtId="0" fontId="6" fillId="27" borderId="2" pivotButton="0" quotePrefix="0" xfId="35"/>
    <xf numFmtId="0" fontId="6" fillId="28" borderId="2" pivotButton="0" quotePrefix="0" xfId="35"/>
    <xf numFmtId="0" fontId="43" fillId="11" borderId="8" pivotButton="0" quotePrefix="0" xfId="35"/>
    <xf numFmtId="0" fontId="42" fillId="25" borderId="0" pivotButton="0" quotePrefix="0" xfId="0"/>
    <xf numFmtId="0" fontId="44" fillId="9" borderId="1" applyAlignment="1" pivotButton="0" quotePrefix="0" xfId="0">
      <alignment wrapText="1"/>
    </xf>
    <xf numFmtId="4" fontId="6" fillId="18" borderId="1" applyAlignment="1" applyProtection="1" pivotButton="0" quotePrefix="0" xfId="0">
      <alignment horizontal="right" wrapText="1"/>
      <protection locked="0" hidden="0"/>
    </xf>
    <xf numFmtId="0" fontId="14" fillId="0" borderId="0" applyAlignment="1" pivotButton="0" quotePrefix="0" xfId="0">
      <alignment horizontal="center" vertical="center" wrapText="1"/>
    </xf>
    <xf numFmtId="4" fontId="6" fillId="5" borderId="2" applyAlignment="1" pivotButton="0" quotePrefix="0" xfId="0">
      <alignment horizontal="right" wrapText="1"/>
    </xf>
    <xf numFmtId="0" fontId="16" fillId="14" borderId="0" applyAlignment="1" pivotButton="0" quotePrefix="0" xfId="0">
      <alignment wrapText="1"/>
    </xf>
    <xf numFmtId="0" fontId="32" fillId="21" borderId="0" applyAlignment="1" pivotButton="0" quotePrefix="0" xfId="0">
      <alignment wrapText="1"/>
    </xf>
    <xf numFmtId="0" fontId="10" fillId="12" borderId="12" applyAlignment="1" pivotButton="0" quotePrefix="0" xfId="0">
      <alignment horizontal="left" wrapText="1"/>
    </xf>
    <xf numFmtId="4" fontId="10" fillId="10" borderId="12" applyAlignment="1" pivotButton="0" quotePrefix="0" xfId="0">
      <alignment horizontal="right" wrapText="1"/>
    </xf>
    <xf numFmtId="49" fontId="6" fillId="16" borderId="2" applyAlignment="1" applyProtection="1" pivotButton="0" quotePrefix="0" xfId="0">
      <alignment horizontal="right" wrapText="1"/>
      <protection locked="0" hidden="0"/>
    </xf>
    <xf numFmtId="0" fontId="10" fillId="0" borderId="0" applyAlignment="1" pivotButton="0" quotePrefix="0" xfId="0">
      <alignment horizontal="center" vertical="top" wrapText="1"/>
    </xf>
    <xf numFmtId="3" fontId="6" fillId="13" borderId="1" applyAlignment="1" applyProtection="1" pivotButton="0" quotePrefix="0" xfId="0">
      <alignment wrapText="1"/>
      <protection locked="0" hidden="0"/>
    </xf>
    <xf numFmtId="3" fontId="6" fillId="13" borderId="1" applyAlignment="1" applyProtection="1" pivotButton="0" quotePrefix="0" xfId="0">
      <alignment horizontal="right" wrapText="1"/>
      <protection locked="0" hidden="0"/>
    </xf>
    <xf numFmtId="4" fontId="6" fillId="13" borderId="1" applyAlignment="1" applyProtection="1" pivotButton="0" quotePrefix="0" xfId="0">
      <alignment horizontal="right" wrapText="1"/>
      <protection locked="0" hidden="0"/>
    </xf>
    <xf numFmtId="0" fontId="20" fillId="6" borderId="0" pivotButton="0" quotePrefix="0" xfId="0"/>
    <xf numFmtId="0" fontId="20" fillId="0" borderId="0" pivotButton="0" quotePrefix="0" xfId="0"/>
    <xf numFmtId="0" fontId="21" fillId="0" borderId="0" pivotButton="0" quotePrefix="0" xfId="0"/>
    <xf numFmtId="0" fontId="20" fillId="0" borderId="0" applyAlignment="1" pivotButton="0" quotePrefix="0" xfId="0">
      <alignment horizontal="center"/>
    </xf>
    <xf numFmtId="0" fontId="39" fillId="14" borderId="0" applyAlignment="1" pivotButton="0" quotePrefix="0" xfId="0">
      <alignment horizontal="center"/>
    </xf>
    <xf numFmtId="0" fontId="5" fillId="12" borderId="1" applyAlignment="1" pivotButton="0" quotePrefix="0" xfId="0">
      <alignment horizontal="left" wrapText="1"/>
    </xf>
    <xf numFmtId="0" fontId="29" fillId="11" borderId="1" applyAlignment="1" pivotButton="0" quotePrefix="0" xfId="0">
      <alignment horizontal="right" vertical="center" wrapText="1"/>
    </xf>
    <xf numFmtId="0" fontId="32" fillId="14" borderId="0" applyAlignment="1" pivotButton="0" quotePrefix="0" xfId="0">
      <alignment horizontal="center"/>
    </xf>
    <xf numFmtId="0" fontId="42" fillId="0" borderId="0" pivotButton="0" quotePrefix="0" xfId="0"/>
    <xf numFmtId="0" fontId="32" fillId="14" borderId="0" applyAlignment="1" pivotButton="0" quotePrefix="0" xfId="0">
      <alignment vertical="top"/>
    </xf>
    <xf numFmtId="0" fontId="14" fillId="14" borderId="0" applyAlignment="1" pivotButton="0" quotePrefix="0" xfId="0">
      <alignment vertical="top"/>
    </xf>
    <xf numFmtId="4" fontId="6" fillId="16" borderId="1" applyAlignment="1" applyProtection="1" pivotButton="0" quotePrefix="0" xfId="0">
      <alignment wrapText="1"/>
      <protection locked="0" hidden="0"/>
    </xf>
    <xf numFmtId="0" fontId="45" fillId="26" borderId="0" pivotButton="0" quotePrefix="0" xfId="0"/>
    <xf numFmtId="0" fontId="45" fillId="0" borderId="0" pivotButton="0" quotePrefix="0" xfId="0"/>
    <xf numFmtId="4" fontId="40" fillId="10" borderId="1" applyAlignment="1" pivotButton="0" quotePrefix="0" xfId="0">
      <alignment horizontal="right" wrapText="1"/>
    </xf>
    <xf numFmtId="0" fontId="35" fillId="12" borderId="1" applyAlignment="1" pivotButton="0" quotePrefix="0" xfId="0">
      <alignment horizontal="left" wrapText="1"/>
    </xf>
    <xf numFmtId="4" fontId="35" fillId="16" borderId="1" applyAlignment="1" applyProtection="1" pivotButton="0" quotePrefix="0" xfId="0">
      <alignment horizontal="right" wrapText="1"/>
      <protection locked="0" hidden="0"/>
    </xf>
    <xf numFmtId="0" fontId="45" fillId="0" borderId="0" applyAlignment="1" pivotButton="0" quotePrefix="0" xfId="0">
      <alignment horizontal="center"/>
    </xf>
    <xf numFmtId="0" fontId="45" fillId="21" borderId="0" pivotButton="0" quotePrefix="0" xfId="0"/>
    <xf numFmtId="0" fontId="10" fillId="0" borderId="0" applyAlignment="1" pivotButton="0" quotePrefix="0" xfId="0">
      <alignment horizontal="center" wrapText="1"/>
    </xf>
    <xf numFmtId="4" fontId="0" fillId="0" borderId="0" pivotButton="0" quotePrefix="0" xfId="0"/>
    <xf numFmtId="0" fontId="6" fillId="12" borderId="1" applyAlignment="1" pivotButton="0" quotePrefix="0" xfId="0">
      <alignment horizontal="left" wrapText="1"/>
    </xf>
    <xf numFmtId="0" fontId="6" fillId="16" borderId="1" applyAlignment="1" applyProtection="1" pivotButton="0" quotePrefix="0" xfId="0">
      <alignment wrapText="1"/>
      <protection locked="0" hidden="0"/>
    </xf>
    <xf numFmtId="0" fontId="31" fillId="0" borderId="0" applyAlignment="1" pivotButton="0" quotePrefix="0" xfId="0">
      <alignment horizontal="center" vertical="center"/>
    </xf>
    <xf numFmtId="0" fontId="14" fillId="0" borderId="0" applyAlignment="1" pivotButton="0" quotePrefix="0" xfId="0">
      <alignment vertical="top"/>
    </xf>
    <xf numFmtId="0" fontId="31" fillId="0" borderId="0" applyAlignment="1" pivotButton="0" quotePrefix="0" xfId="0">
      <alignment horizontal="center" vertical="center" wrapText="1"/>
    </xf>
    <xf numFmtId="0" fontId="14" fillId="0" borderId="0" applyProtection="1" pivotButton="0" quotePrefix="0" xfId="0">
      <protection locked="0" hidden="0"/>
    </xf>
    <xf numFmtId="0" fontId="10" fillId="12" borderId="1" applyAlignment="1" pivotButton="0" quotePrefix="0" xfId="0">
      <alignment horizontal="center" wrapText="1"/>
    </xf>
    <xf numFmtId="0" fontId="10" fillId="12" borderId="1" applyAlignment="1" pivotButton="0" quotePrefix="0" xfId="0">
      <alignment horizontal="left" wrapText="1"/>
    </xf>
    <xf numFmtId="0" fontId="21" fillId="0" borderId="1" applyAlignment="1" pivotButton="0" quotePrefix="0" xfId="0">
      <alignment wrapText="1"/>
    </xf>
    <xf numFmtId="0" fontId="20" fillId="0" borderId="1" applyAlignment="1" pivotButton="0" quotePrefix="0" xfId="0">
      <alignment wrapText="1"/>
    </xf>
    <xf numFmtId="0" fontId="15" fillId="14" borderId="0" pivotButton="0" quotePrefix="0" xfId="0"/>
    <xf numFmtId="0" fontId="15" fillId="14" borderId="0" applyAlignment="1" pivotButton="0" quotePrefix="0" xfId="0">
      <alignment horizontal="center"/>
    </xf>
    <xf numFmtId="0" fontId="13" fillId="7" borderId="5" pivotButton="0" quotePrefix="0" xfId="0"/>
    <xf numFmtId="0" fontId="2" fillId="12" borderId="10" applyAlignment="1" pivotButton="0" quotePrefix="0" xfId="0">
      <alignment horizontal="left"/>
    </xf>
    <xf numFmtId="49" fontId="2" fillId="16" borderId="10" applyAlignment="1" applyProtection="1" pivotButton="0" quotePrefix="0" xfId="0">
      <alignment horizontal="left"/>
      <protection locked="0" hidden="0"/>
    </xf>
    <xf numFmtId="0" fontId="2" fillId="12" borderId="1" applyAlignment="1" pivotButton="0" quotePrefix="0" xfId="0">
      <alignment horizontal="left"/>
    </xf>
    <xf numFmtId="0" fontId="14" fillId="0" borderId="0" applyAlignment="1" pivotButton="0" quotePrefix="0" xfId="0">
      <alignment horizontal="left" wrapText="1"/>
    </xf>
    <xf numFmtId="0" fontId="29" fillId="17" borderId="15" applyAlignment="1" pivotButton="0" quotePrefix="0" xfId="0">
      <alignment horizontal="center" vertical="center"/>
    </xf>
    <xf numFmtId="0" fontId="46" fillId="0" borderId="0" pivotButton="0" quotePrefix="0" xfId="0"/>
    <xf numFmtId="4" fontId="22" fillId="14" borderId="0" applyAlignment="1" pivotButton="0" quotePrefix="0" xfId="0">
      <alignment horizontal="right" wrapText="1"/>
    </xf>
    <xf numFmtId="0" fontId="47" fillId="12" borderId="2" applyAlignment="1" pivotButton="0" quotePrefix="0" xfId="0">
      <alignment horizontal="center" vertical="top" wrapText="1"/>
    </xf>
    <xf numFmtId="4" fontId="41" fillId="14" borderId="0" applyAlignment="1" pivotButton="0" quotePrefix="0" xfId="0">
      <alignment horizontal="right" wrapText="1"/>
    </xf>
    <xf numFmtId="4" fontId="5" fillId="24" borderId="1" applyAlignment="1" pivotButton="0" quotePrefix="0" xfId="0">
      <alignment horizontal="right"/>
    </xf>
    <xf numFmtId="0" fontId="46" fillId="0" borderId="1" applyAlignment="1" pivotButton="0" quotePrefix="0" xfId="0">
      <alignment horizontal="center" vertical="top"/>
    </xf>
    <xf numFmtId="0" fontId="46" fillId="0" borderId="1" applyAlignment="1" pivotButton="0" quotePrefix="0" xfId="0">
      <alignment vertical="top" wrapText="1"/>
    </xf>
    <xf numFmtId="0" fontId="46" fillId="0" borderId="1" applyAlignment="1" pivotButton="0" quotePrefix="0" xfId="0">
      <alignment vertical="top"/>
    </xf>
    <xf numFmtId="0" fontId="46" fillId="0" borderId="0" applyAlignment="1" pivotButton="0" quotePrefix="0" xfId="0">
      <alignment vertical="top"/>
    </xf>
    <xf numFmtId="0" fontId="46" fillId="0" borderId="0" applyAlignment="1" pivotButton="0" quotePrefix="0" xfId="0">
      <alignment vertical="top" wrapText="1"/>
    </xf>
    <xf numFmtId="0" fontId="48" fillId="0" borderId="0" applyAlignment="1" pivotButton="0" quotePrefix="0" xfId="0">
      <alignment vertical="top" wrapText="1"/>
    </xf>
    <xf numFmtId="0" fontId="46" fillId="0" borderId="0" applyAlignment="1" pivotButton="0" quotePrefix="0" xfId="0">
      <alignment wrapText="1"/>
    </xf>
    <xf numFmtId="0" fontId="46" fillId="0" borderId="0" applyAlignment="1" pivotButton="0" quotePrefix="0" xfId="0">
      <alignment horizontal="center" vertical="top"/>
    </xf>
    <xf numFmtId="0" fontId="48" fillId="0" borderId="0" applyAlignment="1" pivotButton="0" quotePrefix="0" xfId="0">
      <alignment horizontal="left" vertical="top"/>
    </xf>
    <xf numFmtId="0" fontId="48" fillId="0" borderId="0" applyAlignment="1" pivotButton="0" quotePrefix="0" xfId="0">
      <alignment vertical="top"/>
    </xf>
    <xf numFmtId="0" fontId="46" fillId="0" borderId="0" applyAlignment="1" pivotButton="0" quotePrefix="0" xfId="0">
      <alignment horizontal="center"/>
    </xf>
    <xf numFmtId="0" fontId="29" fillId="23" borderId="16" applyAlignment="1" pivotButton="0" quotePrefix="0" xfId="55">
      <alignment vertical="center" wrapText="1"/>
    </xf>
    <xf numFmtId="0" fontId="2" fillId="0" borderId="0" applyAlignment="1" pivotButton="0" quotePrefix="0" xfId="0">
      <alignment wrapText="1"/>
    </xf>
    <xf numFmtId="0" fontId="5" fillId="29" borderId="1" applyAlignment="1" pivotButton="0" quotePrefix="0" xfId="0">
      <alignment horizontal="center" wrapText="1"/>
    </xf>
    <xf numFmtId="0" fontId="5" fillId="0" borderId="1" applyAlignment="1" pivotButton="0" quotePrefix="0" xfId="0">
      <alignment horizontal="right" wrapText="1"/>
    </xf>
    <xf numFmtId="0" fontId="5" fillId="29" borderId="1" applyAlignment="1" pivotButton="0" quotePrefix="0" xfId="0">
      <alignment horizontal="right" wrapText="1"/>
    </xf>
    <xf numFmtId="0" fontId="5" fillId="29" borderId="1" applyAlignment="1" pivotButton="0" quotePrefix="0" xfId="0">
      <alignment horizontal="left" wrapText="1"/>
    </xf>
    <xf numFmtId="0" fontId="2" fillId="0" borderId="0" applyAlignment="1" pivotButton="0" quotePrefix="0" xfId="0">
      <alignment horizontal="center" wrapText="1"/>
    </xf>
    <xf numFmtId="0" fontId="23" fillId="14" borderId="0" pivotButton="0" quotePrefix="0" xfId="0"/>
    <xf numFmtId="0" fontId="2" fillId="12" borderId="1" applyAlignment="1" pivotButton="0" quotePrefix="0" xfId="0">
      <alignment horizontal="left" wrapText="1"/>
    </xf>
    <xf numFmtId="4" fontId="29" fillId="11" borderId="17" applyAlignment="1" pivotButton="0" quotePrefix="0" xfId="0">
      <alignment wrapText="1"/>
    </xf>
    <xf numFmtId="0" fontId="29" fillId="11" borderId="18" applyAlignment="1" pivotButton="0" quotePrefix="0" xfId="0">
      <alignment horizontal="center" vertical="center" wrapText="1"/>
    </xf>
    <xf numFmtId="0" fontId="8" fillId="23" borderId="16" applyAlignment="1" pivotButton="0" quotePrefix="0" xfId="0">
      <alignment vertical="center" wrapText="1"/>
    </xf>
    <xf numFmtId="0" fontId="8" fillId="23" borderId="17" applyAlignment="1" pivotButton="0" quotePrefix="0" xfId="0">
      <alignment vertical="center" wrapText="1"/>
    </xf>
    <xf numFmtId="0" fontId="8" fillId="23" borderId="0" applyAlignment="1" pivotButton="0" quotePrefix="0" xfId="55">
      <alignment vertical="center"/>
    </xf>
    <xf numFmtId="0" fontId="29" fillId="11" borderId="19" applyAlignment="1" pivotButton="0" quotePrefix="0" xfId="0">
      <alignment vertical="center" wrapText="1"/>
    </xf>
    <xf numFmtId="0" fontId="8" fillId="23" borderId="64" applyAlignment="1" pivotButton="0" quotePrefix="0" xfId="55">
      <alignment vertical="center" wrapText="1"/>
    </xf>
    <xf numFmtId="0" fontId="49" fillId="23" borderId="16" applyAlignment="1" pivotButton="0" quotePrefix="0" xfId="52">
      <alignment vertical="center" wrapText="1"/>
    </xf>
    <xf numFmtId="0" fontId="49" fillId="23" borderId="17" applyAlignment="1" pivotButton="0" quotePrefix="0" xfId="52">
      <alignment vertical="center" wrapText="1"/>
    </xf>
    <xf numFmtId="0" fontId="11" fillId="0" borderId="0" applyAlignment="1" pivotButton="0" quotePrefix="0" xfId="32">
      <alignment wrapText="1"/>
    </xf>
    <xf numFmtId="0" fontId="32" fillId="14" borderId="0" applyAlignment="1" pivotButton="0" quotePrefix="0" xfId="0">
      <alignment horizontal="left" wrapText="1"/>
    </xf>
    <xf numFmtId="0" fontId="25" fillId="0" borderId="0" applyAlignment="1" pivotButton="0" quotePrefix="0" xfId="32">
      <alignment horizontal="left" wrapText="1"/>
    </xf>
    <xf numFmtId="0" fontId="25" fillId="0" borderId="0" applyAlignment="1" pivotButton="0" quotePrefix="0" xfId="0">
      <alignment horizontal="left" wrapText="1"/>
    </xf>
    <xf numFmtId="0" fontId="28" fillId="0" borderId="0" applyAlignment="1" pivotButton="0" quotePrefix="0" xfId="32">
      <alignment horizontal="left" wrapText="1"/>
    </xf>
    <xf numFmtId="0" fontId="18" fillId="9" borderId="1" applyAlignment="1" pivotButton="0" quotePrefix="0" xfId="1">
      <alignment horizontal="left" wrapText="1"/>
    </xf>
    <xf numFmtId="0" fontId="4" fillId="9" borderId="1" applyAlignment="1" pivotButton="0" quotePrefix="0" xfId="13">
      <alignment horizontal="left" wrapText="1"/>
    </xf>
    <xf numFmtId="49" fontId="6" fillId="16" borderId="2" applyAlignment="1" applyProtection="1" pivotButton="0" quotePrefix="0" xfId="0">
      <alignment horizontal="left" wrapText="1"/>
      <protection locked="0" hidden="0"/>
    </xf>
    <xf numFmtId="0" fontId="2" fillId="16" borderId="1" applyAlignment="1" applyProtection="1" pivotButton="0" quotePrefix="0" xfId="0">
      <alignment horizontal="left" wrapText="1"/>
      <protection locked="0" hidden="0"/>
    </xf>
    <xf numFmtId="49" fontId="6" fillId="16" borderId="1" applyAlignment="1" applyProtection="1" pivotButton="0" quotePrefix="0" xfId="0">
      <alignment horizontal="right" wrapText="1"/>
      <protection locked="0" hidden="0"/>
    </xf>
    <xf numFmtId="0" fontId="2" fillId="12" borderId="1" applyAlignment="1" pivotButton="0" quotePrefix="0" xfId="0">
      <alignment horizontal="center" wrapText="1"/>
    </xf>
    <xf numFmtId="49" fontId="2" fillId="12" borderId="1" applyAlignment="1" pivotButton="0" quotePrefix="0" xfId="0">
      <alignment horizontal="center" wrapText="1"/>
    </xf>
    <xf numFmtId="0" fontId="47" fillId="12" borderId="1" applyAlignment="1" pivotButton="0" quotePrefix="0" xfId="0">
      <alignment horizontal="center" vertical="center" wrapText="1"/>
    </xf>
    <xf numFmtId="49" fontId="35" fillId="0" borderId="61" applyAlignment="1" applyProtection="1" pivotButton="0" quotePrefix="0" xfId="0">
      <alignment wrapText="1"/>
      <protection locked="0" hidden="0"/>
    </xf>
    <xf numFmtId="4" fontId="35" fillId="0" borderId="61" applyAlignment="1" applyProtection="1" pivotButton="0" quotePrefix="0" xfId="0">
      <alignment horizontal="right" wrapText="1"/>
      <protection locked="0" hidden="0"/>
    </xf>
    <xf numFmtId="0" fontId="15" fillId="14" borderId="20" applyAlignment="1" pivotButton="0" quotePrefix="0" xfId="0">
      <alignment vertical="center"/>
    </xf>
    <xf numFmtId="2" fontId="6" fillId="16" borderId="1" applyAlignment="1" applyProtection="1" pivotButton="0" quotePrefix="0" xfId="0">
      <alignment horizontal="right" wrapText="1"/>
      <protection locked="0" hidden="0"/>
    </xf>
    <xf numFmtId="0" fontId="32" fillId="14" borderId="20" applyAlignment="1" pivotButton="0" quotePrefix="0" xfId="0">
      <alignment vertical="center"/>
    </xf>
    <xf numFmtId="4" fontId="34" fillId="14" borderId="20" applyAlignment="1" pivotButton="0" quotePrefix="0" xfId="0">
      <alignment horizontal="right" wrapText="1"/>
    </xf>
    <xf numFmtId="0" fontId="20" fillId="30" borderId="1" applyAlignment="1" pivotButton="0" quotePrefix="0" xfId="0">
      <alignment wrapText="1"/>
    </xf>
    <xf numFmtId="0" fontId="5" fillId="30" borderId="1" applyAlignment="1" pivotButton="0" quotePrefix="0" xfId="0">
      <alignment wrapText="1"/>
    </xf>
    <xf numFmtId="0" fontId="5" fillId="30" borderId="1" applyAlignment="1" pivotButton="0" quotePrefix="0" xfId="0">
      <alignment horizontal="center" wrapText="1"/>
    </xf>
    <xf numFmtId="0" fontId="20" fillId="30" borderId="1" applyAlignment="1" pivotButton="0" quotePrefix="0" xfId="0">
      <alignment horizontal="center" wrapText="1"/>
    </xf>
    <xf numFmtId="0" fontId="6" fillId="30" borderId="10" applyAlignment="1" pivotButton="0" quotePrefix="0" xfId="0">
      <alignment wrapText="1"/>
    </xf>
    <xf numFmtId="0" fontId="6" fillId="30" borderId="1" applyAlignment="1" pivotButton="0" quotePrefix="0" xfId="0">
      <alignment wrapText="1"/>
    </xf>
    <xf numFmtId="0" fontId="21" fillId="30" borderId="1" applyAlignment="1" pivotButton="0" quotePrefix="0" xfId="0">
      <alignment horizontal="center" wrapText="1"/>
    </xf>
    <xf numFmtId="0" fontId="42" fillId="26" borderId="0" applyAlignment="1" pivotButton="0" quotePrefix="0" xfId="0">
      <alignment wrapText="1"/>
    </xf>
    <xf numFmtId="0" fontId="20" fillId="26" borderId="0" applyAlignment="1" pivotButton="0" quotePrefix="0" xfId="0">
      <alignment wrapText="1"/>
    </xf>
    <xf numFmtId="4" fontId="6" fillId="24" borderId="2" applyAlignment="1" pivotButton="0" quotePrefix="0" xfId="0">
      <alignment horizontal="right" wrapText="1"/>
    </xf>
    <xf numFmtId="0" fontId="6" fillId="10" borderId="1" applyAlignment="1" pivotButton="0" quotePrefix="0" xfId="0">
      <alignment horizontal="right" wrapText="1"/>
    </xf>
    <xf numFmtId="49" fontId="6" fillId="13" borderId="2" applyAlignment="1" applyProtection="1" pivotButton="0" quotePrefix="0" xfId="0">
      <alignment horizontal="right" wrapText="1"/>
      <protection locked="0" hidden="0"/>
    </xf>
    <xf numFmtId="49" fontId="6" fillId="16" borderId="61" applyAlignment="1" applyProtection="1" pivotButton="0" quotePrefix="0" xfId="0">
      <alignment horizontal="right" wrapText="1"/>
      <protection locked="0" hidden="0"/>
    </xf>
    <xf numFmtId="49" fontId="35" fillId="13" borderId="61" applyAlignment="1" applyProtection="1" pivotButton="0" quotePrefix="0" xfId="0">
      <alignment horizontal="right" wrapText="1"/>
      <protection locked="0" hidden="0"/>
    </xf>
    <xf numFmtId="4" fontId="10" fillId="10" borderId="15" applyAlignment="1" pivotButton="0" quotePrefix="0" xfId="0">
      <alignment horizontal="right" wrapText="1"/>
    </xf>
    <xf numFmtId="4" fontId="10" fillId="26" borderId="21" applyAlignment="1" pivotButton="0" quotePrefix="0" xfId="0">
      <alignment horizontal="right" wrapText="1"/>
    </xf>
    <xf numFmtId="1" fontId="6" fillId="16" borderId="1" applyAlignment="1" applyProtection="1" pivotButton="0" quotePrefix="0" xfId="0">
      <alignment horizontal="left" wrapText="1"/>
      <protection locked="0" hidden="0"/>
    </xf>
    <xf numFmtId="1" fontId="6" fillId="13" borderId="2" applyAlignment="1" applyProtection="1" pivotButton="0" quotePrefix="0" xfId="0">
      <alignment horizontal="left" wrapText="1"/>
      <protection locked="0" hidden="0"/>
    </xf>
    <xf numFmtId="0" fontId="2" fillId="10" borderId="1" applyAlignment="1" pivotButton="0" quotePrefix="0" xfId="0">
      <alignment horizontal="left" wrapText="1"/>
    </xf>
    <xf numFmtId="49" fontId="2" fillId="10" borderId="1" applyAlignment="1" pivotButton="0" quotePrefix="0" xfId="0">
      <alignment horizontal="left" wrapText="1"/>
    </xf>
    <xf numFmtId="0" fontId="49" fillId="23" borderId="22" applyAlignment="1" pivotButton="0" quotePrefix="0" xfId="52">
      <alignment vertical="center" wrapText="1"/>
    </xf>
    <xf numFmtId="0" fontId="49" fillId="23" borderId="23" applyAlignment="1" pivotButton="0" quotePrefix="0" xfId="52">
      <alignment vertical="center" wrapText="1"/>
    </xf>
    <xf numFmtId="0" fontId="8" fillId="23" borderId="6" applyAlignment="1" pivotButton="0" quotePrefix="0" xfId="52">
      <alignment vertical="center" wrapText="1"/>
    </xf>
    <xf numFmtId="0" fontId="8" fillId="23" borderId="7" applyAlignment="1" pivotButton="0" quotePrefix="0" xfId="52">
      <alignment vertical="center" wrapText="1"/>
    </xf>
    <xf numFmtId="0" fontId="31" fillId="15" borderId="65" applyAlignment="1" pivotButton="0" quotePrefix="0" xfId="0">
      <alignment horizontal="center" vertical="center" wrapText="1"/>
    </xf>
    <xf numFmtId="0" fontId="32" fillId="14" borderId="20" applyAlignment="1" pivotButton="0" quotePrefix="0" xfId="0">
      <alignment horizontal="center" vertical="center"/>
    </xf>
    <xf numFmtId="0" fontId="32" fillId="14" borderId="20" pivotButton="0" quotePrefix="0" xfId="0"/>
    <xf numFmtId="4" fontId="22" fillId="14" borderId="20" applyAlignment="1" pivotButton="0" quotePrefix="0" xfId="0">
      <alignment horizontal="right" wrapText="1"/>
    </xf>
    <xf numFmtId="0" fontId="8" fillId="23" borderId="22" applyAlignment="1" pivotButton="0" quotePrefix="0" xfId="55">
      <alignment vertical="center"/>
    </xf>
    <xf numFmtId="0" fontId="8" fillId="23" borderId="23" applyAlignment="1" pivotButton="0" quotePrefix="0" xfId="55">
      <alignment vertical="center"/>
    </xf>
    <xf numFmtId="0" fontId="29" fillId="11" borderId="9" applyAlignment="1" pivotButton="0" quotePrefix="0" xfId="0">
      <alignment horizontal="center" vertical="center"/>
    </xf>
    <xf numFmtId="4" fontId="6" fillId="14" borderId="20" applyAlignment="1" pivotButton="0" quotePrefix="0" xfId="0">
      <alignment horizontal="right" wrapText="1"/>
    </xf>
    <xf numFmtId="49" fontId="2" fillId="18" borderId="1" applyAlignment="1" applyProtection="1" pivotButton="0" quotePrefix="0" xfId="0">
      <alignment horizontal="right" wrapText="1"/>
      <protection locked="0" hidden="0"/>
    </xf>
    <xf numFmtId="4" fontId="5" fillId="24" borderId="16" applyAlignment="1" pivotButton="0" quotePrefix="0" xfId="0">
      <alignment horizontal="right" wrapText="1"/>
    </xf>
    <xf numFmtId="49" fontId="6" fillId="13" borderId="12" applyAlignment="1" applyProtection="1" pivotButton="0" quotePrefix="0" xfId="0">
      <alignment horizontal="left" wrapText="1"/>
      <protection locked="0" hidden="0"/>
    </xf>
    <xf numFmtId="49" fontId="6" fillId="16" borderId="10" applyAlignment="1" applyProtection="1" pivotButton="0" quotePrefix="0" xfId="0">
      <alignment horizontal="right" wrapText="1"/>
      <protection locked="0" hidden="0"/>
    </xf>
    <xf numFmtId="4" fontId="6" fillId="16" borderId="10" applyAlignment="1" applyProtection="1" pivotButton="0" quotePrefix="0" xfId="0">
      <alignment horizontal="right" wrapText="1"/>
      <protection locked="0" hidden="0"/>
    </xf>
    <xf numFmtId="0" fontId="42" fillId="26" borderId="20" pivotButton="0" quotePrefix="0" xfId="0"/>
    <xf numFmtId="0" fontId="22" fillId="0" borderId="0" pivotButton="0" quotePrefix="0" xfId="57"/>
    <xf numFmtId="0" fontId="22" fillId="0" borderId="0" pivotButton="0" quotePrefix="0" xfId="87"/>
    <xf numFmtId="0" fontId="10" fillId="24" borderId="1" applyAlignment="1" pivotButton="0" quotePrefix="0" xfId="0">
      <alignment horizontal="center" wrapText="1"/>
    </xf>
    <xf numFmtId="0" fontId="10" fillId="24" borderId="1" applyAlignment="1" pivotButton="0" quotePrefix="0" xfId="0">
      <alignment horizontal="left" wrapText="1"/>
    </xf>
    <xf numFmtId="0" fontId="5" fillId="24" borderId="1" applyAlignment="1" pivotButton="0" quotePrefix="0" xfId="0">
      <alignment horizontal="left" wrapText="1"/>
    </xf>
    <xf numFmtId="0" fontId="50" fillId="14" borderId="0" applyAlignment="1" pivotButton="0" quotePrefix="0" xfId="0">
      <alignment horizontal="left" wrapText="1"/>
    </xf>
    <xf numFmtId="0" fontId="7" fillId="2" borderId="3" pivotButton="0" quotePrefix="0" xfId="0"/>
    <xf numFmtId="0" fontId="22" fillId="0" borderId="0" pivotButton="0" quotePrefix="0" xfId="0"/>
    <xf numFmtId="0" fontId="6" fillId="2" borderId="4" pivotButton="0" quotePrefix="0" xfId="0"/>
    <xf numFmtId="0" fontId="6" fillId="2" borderId="3" pivotButton="0" quotePrefix="0" xfId="44"/>
    <xf numFmtId="0" fontId="6" fillId="2" borderId="0" pivotButton="0" quotePrefix="0" xfId="44"/>
    <xf numFmtId="0" fontId="6" fillId="2" borderId="4" pivotButton="0" quotePrefix="0" xfId="44"/>
    <xf numFmtId="0" fontId="6" fillId="2" borderId="2" pivotButton="0" quotePrefix="0" xfId="44"/>
    <xf numFmtId="0" fontId="6" fillId="2" borderId="2" applyAlignment="1" pivotButton="0" quotePrefix="0" xfId="44">
      <alignment wrapText="1"/>
    </xf>
    <xf numFmtId="0" fontId="32" fillId="26" borderId="0" pivotButton="0" quotePrefix="0" xfId="0"/>
    <xf numFmtId="0" fontId="36" fillId="26" borderId="0" applyAlignment="1" pivotButton="0" quotePrefix="0" xfId="14">
      <alignment horizontal="center"/>
    </xf>
    <xf numFmtId="4" fontId="34" fillId="26" borderId="0" applyAlignment="1" pivotButton="0" quotePrefix="0" xfId="0">
      <alignment horizontal="right"/>
    </xf>
    <xf numFmtId="0" fontId="50" fillId="14" borderId="0" applyAlignment="1" pivotButton="0" quotePrefix="0" xfId="0">
      <alignment vertical="center"/>
    </xf>
    <xf numFmtId="0" fontId="25" fillId="0" borderId="0" pivotButton="0" quotePrefix="0" xfId="64"/>
    <xf numFmtId="0" fontId="25" fillId="0" borderId="0" pivotButton="0" quotePrefix="0" xfId="67"/>
    <xf numFmtId="0" fontId="10" fillId="12" borderId="14" applyAlignment="1" pivotButton="0" quotePrefix="0" xfId="0">
      <alignment horizontal="left" wrapText="1"/>
    </xf>
    <xf numFmtId="4" fontId="2" fillId="10" borderId="11" applyAlignment="1" pivotButton="0" quotePrefix="0" xfId="0">
      <alignment horizontal="right" wrapText="1"/>
    </xf>
    <xf numFmtId="0" fontId="50" fillId="14" borderId="0" pivotButton="0" quotePrefix="0" xfId="0"/>
    <xf numFmtId="0" fontId="10" fillId="12" borderId="16" applyAlignment="1" pivotButton="0" quotePrefix="0" xfId="0">
      <alignment horizontal="center" wrapText="1"/>
    </xf>
    <xf numFmtId="0" fontId="2" fillId="12" borderId="10" applyAlignment="1" pivotButton="0" quotePrefix="0" xfId="0">
      <alignment horizontal="left" wrapText="1"/>
    </xf>
    <xf numFmtId="0" fontId="10" fillId="12" borderId="14" applyAlignment="1" pivotButton="0" quotePrefix="0" xfId="0">
      <alignment horizontal="center" wrapText="1"/>
    </xf>
    <xf numFmtId="4" fontId="10" fillId="10" borderId="14" applyAlignment="1" pivotButton="0" quotePrefix="0" xfId="0">
      <alignment horizontal="right" wrapText="1"/>
    </xf>
    <xf numFmtId="0" fontId="2" fillId="12" borderId="10" applyAlignment="1" pivotButton="0" quotePrefix="0" xfId="0">
      <alignment horizontal="center" wrapText="1"/>
    </xf>
    <xf numFmtId="4" fontId="2" fillId="10" borderId="10" applyAlignment="1" pivotButton="0" quotePrefix="0" xfId="0">
      <alignment horizontal="right" wrapText="1"/>
    </xf>
    <xf numFmtId="0" fontId="10" fillId="12" borderId="16" applyAlignment="1" pivotButton="0" quotePrefix="0" xfId="0">
      <alignment horizontal="left" wrapText="1"/>
    </xf>
    <xf numFmtId="49" fontId="0" fillId="0" borderId="1" pivotButton="0" quotePrefix="0" xfId="0"/>
    <xf numFmtId="49" fontId="0" fillId="31" borderId="1" pivotButton="0" quotePrefix="0" xfId="0"/>
    <xf numFmtId="49" fontId="0" fillId="0" borderId="24" pivotButton="0" quotePrefix="0" xfId="0"/>
    <xf numFmtId="0" fontId="3" fillId="32" borderId="25" pivotButton="0" quotePrefix="0" xfId="0"/>
    <xf numFmtId="0" fontId="3" fillId="32" borderId="26" pivotButton="0" quotePrefix="0" xfId="0"/>
    <xf numFmtId="49" fontId="0" fillId="33" borderId="24" pivotButton="0" quotePrefix="0" xfId="0"/>
    <xf numFmtId="49" fontId="0" fillId="33" borderId="1" pivotButton="0" quotePrefix="0" xfId="0"/>
    <xf numFmtId="0" fontId="3" fillId="32" borderId="27" pivotButton="0" quotePrefix="0" xfId="0"/>
    <xf numFmtId="0" fontId="0" fillId="0" borderId="15" pivotButton="0" quotePrefix="0" xfId="0"/>
    <xf numFmtId="0" fontId="0" fillId="33" borderId="15" pivotButton="0" quotePrefix="0" xfId="0"/>
    <xf numFmtId="49" fontId="0" fillId="0" borderId="28" pivotButton="0" quotePrefix="0" xfId="0"/>
    <xf numFmtId="49" fontId="0" fillId="31" borderId="24" pivotButton="0" quotePrefix="0" xfId="0"/>
    <xf numFmtId="49" fontId="0" fillId="31" borderId="28" pivotButton="0" quotePrefix="0" xfId="0"/>
    <xf numFmtId="0" fontId="3" fillId="34" borderId="25" pivotButton="0" quotePrefix="0" xfId="0"/>
    <xf numFmtId="0" fontId="3" fillId="34" borderId="26" pivotButton="0" quotePrefix="0" xfId="0"/>
    <xf numFmtId="0" fontId="3" fillId="34" borderId="27" pivotButton="0" quotePrefix="0" xfId="0"/>
    <xf numFmtId="0" fontId="3" fillId="32" borderId="29" pivotButton="0" quotePrefix="0" xfId="0"/>
    <xf numFmtId="0" fontId="0" fillId="0" borderId="30" pivotButton="0" quotePrefix="0" xfId="0"/>
    <xf numFmtId="0" fontId="0" fillId="33" borderId="30" pivotButton="0" quotePrefix="0" xfId="0"/>
    <xf numFmtId="0" fontId="0" fillId="33" borderId="31" pivotButton="0" quotePrefix="0" xfId="0"/>
    <xf numFmtId="49" fontId="6" fillId="18" borderId="1" applyAlignment="1" applyProtection="1" pivotButton="0" quotePrefix="0" xfId="0">
      <alignment horizontal="right" wrapText="1"/>
      <protection locked="0" hidden="0"/>
    </xf>
    <xf numFmtId="49" fontId="6" fillId="35" borderId="2" applyAlignment="1" applyProtection="1" pivotButton="0" quotePrefix="0" xfId="0">
      <alignment horizontal="right" wrapText="1"/>
      <protection locked="0" hidden="0"/>
    </xf>
    <xf numFmtId="0" fontId="0" fillId="0" borderId="0" applyAlignment="1" pivotButton="0" quotePrefix="0" xfId="0">
      <alignment horizontal="center"/>
    </xf>
    <xf numFmtId="0" fontId="0" fillId="0" borderId="0" applyProtection="1" pivotButton="0" quotePrefix="0" xfId="0">
      <protection locked="1" hidden="1"/>
    </xf>
    <xf numFmtId="0" fontId="7" fillId="2" borderId="3" pivotButton="0" quotePrefix="0" xfId="44"/>
    <xf numFmtId="0" fontId="6" fillId="2" borderId="32" pivotButton="0" quotePrefix="0" xfId="44"/>
    <xf numFmtId="0" fontId="0" fillId="0" borderId="20" pivotButton="0" quotePrefix="0" xfId="0"/>
    <xf numFmtId="0" fontId="0" fillId="0" borderId="20" pivotButton="0" quotePrefix="1" xfId="0"/>
    <xf numFmtId="0" fontId="3" fillId="0" borderId="33" pivotButton="0" quotePrefix="0" xfId="0"/>
    <xf numFmtId="0" fontId="0" fillId="0" borderId="34" pivotButton="0" quotePrefix="0" xfId="0"/>
    <xf numFmtId="0" fontId="0" fillId="0" borderId="35" pivotButton="0" quotePrefix="0" xfId="0"/>
    <xf numFmtId="0" fontId="0" fillId="0" borderId="36" pivotButton="0" quotePrefix="0" xfId="0"/>
    <xf numFmtId="0" fontId="0" fillId="0" borderId="37" pivotButton="0" quotePrefix="0" xfId="0"/>
    <xf numFmtId="0" fontId="0" fillId="0" borderId="36" pivotButton="0" quotePrefix="1" xfId="0"/>
    <xf numFmtId="0" fontId="51" fillId="12" borderId="38" applyAlignment="1" pivotButton="0" quotePrefix="0" xfId="0">
      <alignment horizontal="center" vertical="top" wrapText="1"/>
    </xf>
    <xf numFmtId="0" fontId="51" fillId="12" borderId="39" applyAlignment="1" pivotButton="0" quotePrefix="0" xfId="0">
      <alignment horizontal="center" vertical="top" wrapText="1"/>
    </xf>
    <xf numFmtId="0" fontId="51" fillId="12" borderId="40" applyAlignment="1" pivotButton="0" quotePrefix="0" xfId="0">
      <alignment horizontal="center" vertical="top" wrapText="1"/>
    </xf>
    <xf numFmtId="0" fontId="0" fillId="31" borderId="1" pivotButton="0" quotePrefix="0" xfId="0"/>
    <xf numFmtId="0" fontId="0" fillId="31" borderId="24" pivotButton="0" quotePrefix="0" xfId="0"/>
    <xf numFmtId="0" fontId="0" fillId="31" borderId="28" pivotButton="0" quotePrefix="0" xfId="0"/>
    <xf numFmtId="0" fontId="52" fillId="12" borderId="2" applyAlignment="1" pivotButton="0" quotePrefix="0" xfId="0">
      <alignment horizontal="center" vertical="top" wrapText="1"/>
    </xf>
    <xf numFmtId="0" fontId="52" fillId="12" borderId="11" applyAlignment="1" pivotButton="0" quotePrefix="0" xfId="0">
      <alignment horizontal="center" vertical="top" wrapText="1"/>
    </xf>
    <xf numFmtId="0" fontId="52" fillId="12" borderId="41" applyAlignment="1" pivotButton="0" quotePrefix="0" xfId="0">
      <alignment horizontal="center" vertical="top" wrapText="1"/>
    </xf>
    <xf numFmtId="0" fontId="52" fillId="12" borderId="42" applyAlignment="1" pivotButton="0" quotePrefix="0" xfId="0">
      <alignment horizontal="center" vertical="top" wrapText="1"/>
    </xf>
    <xf numFmtId="0" fontId="52" fillId="12" borderId="43" applyAlignment="1" pivotButton="0" quotePrefix="0" xfId="0">
      <alignment horizontal="center" vertical="top" wrapText="1"/>
    </xf>
    <xf numFmtId="0" fontId="52" fillId="12" borderId="39" applyAlignment="1" pivotButton="0" quotePrefix="0" xfId="0">
      <alignment horizontal="center" vertical="top" wrapText="1"/>
    </xf>
    <xf numFmtId="0" fontId="52" fillId="12" borderId="40" applyAlignment="1" pivotButton="0" quotePrefix="0" xfId="0">
      <alignment horizontal="center" vertical="top" wrapText="1"/>
    </xf>
    <xf numFmtId="0" fontId="52" fillId="12" borderId="44" applyAlignment="1" pivotButton="0" quotePrefix="0" xfId="0">
      <alignment horizontal="center" vertical="top" wrapText="1"/>
    </xf>
    <xf numFmtId="0" fontId="52" fillId="12" borderId="45" applyAlignment="1" pivotButton="0" quotePrefix="0" xfId="0">
      <alignment horizontal="center" vertical="top" wrapText="1"/>
    </xf>
    <xf numFmtId="0" fontId="52" fillId="12" borderId="46" applyAlignment="1" pivotButton="0" quotePrefix="0" xfId="0">
      <alignment horizontal="center" vertical="top" wrapText="1"/>
    </xf>
    <xf numFmtId="0" fontId="0" fillId="0" borderId="1" pivotButton="0" quotePrefix="0" xfId="0"/>
    <xf numFmtId="0" fontId="3" fillId="0" borderId="1" pivotButton="0" quotePrefix="0" xfId="0"/>
    <xf numFmtId="0" fontId="3" fillId="0" borderId="21" pivotButton="0" quotePrefix="0" xfId="0"/>
    <xf numFmtId="0" fontId="0" fillId="0" borderId="22" pivotButton="0" quotePrefix="0" xfId="0"/>
    <xf numFmtId="0" fontId="0" fillId="0" borderId="23" pivotButton="0" quotePrefix="0" xfId="0"/>
    <xf numFmtId="0" fontId="0" fillId="0" borderId="47" pivotButton="0" quotePrefix="0" xfId="0"/>
    <xf numFmtId="0" fontId="0" fillId="0" borderId="0" pivotButton="0" quotePrefix="1" xfId="0"/>
    <xf numFmtId="0" fontId="0" fillId="21" borderId="0" pivotButton="0" quotePrefix="0" xfId="0"/>
    <xf numFmtId="0" fontId="0" fillId="0" borderId="48" pivotButton="0" quotePrefix="0" xfId="0"/>
    <xf numFmtId="0" fontId="0" fillId="0" borderId="49" pivotButton="0" quotePrefix="0" xfId="0"/>
    <xf numFmtId="0" fontId="0" fillId="0" borderId="50" pivotButton="0" quotePrefix="0" xfId="0"/>
    <xf numFmtId="0" fontId="50" fillId="14" borderId="0" applyAlignment="1" pivotButton="0" quotePrefix="0" xfId="27">
      <alignment wrapText="1"/>
    </xf>
    <xf numFmtId="0" fontId="50" fillId="36" borderId="0" applyAlignment="1" pivotButton="0" quotePrefix="0" xfId="27">
      <alignment wrapText="1"/>
    </xf>
    <xf numFmtId="0" fontId="50" fillId="0" borderId="0" applyAlignment="1" pivotButton="0" quotePrefix="0" xfId="0">
      <alignment wrapText="1"/>
    </xf>
    <xf numFmtId="0" fontId="0" fillId="0" borderId="0" applyAlignment="1" pivotButton="0" quotePrefix="0" xfId="0">
      <alignment horizontal="left"/>
    </xf>
    <xf numFmtId="49" fontId="6" fillId="10" borderId="11" applyAlignment="1" pivotButton="0" quotePrefix="0" xfId="13">
      <alignment horizontal="right" wrapText="1"/>
    </xf>
    <xf numFmtId="0" fontId="2" fillId="12" borderId="15" applyAlignment="1" pivotButton="0" quotePrefix="0" xfId="0">
      <alignment horizontal="center" wrapText="1"/>
    </xf>
    <xf numFmtId="0" fontId="53" fillId="14" borderId="0" applyAlignment="1" pivotButton="0" quotePrefix="0" xfId="0">
      <alignment horizontal="left" wrapText="1"/>
    </xf>
    <xf numFmtId="49" fontId="6" fillId="10" borderId="2" applyAlignment="1" pivotButton="0" quotePrefix="0" xfId="0">
      <alignment horizontal="left" wrapText="1"/>
    </xf>
    <xf numFmtId="49" fontId="6" fillId="10" borderId="61" applyAlignment="1" pivotButton="0" quotePrefix="0" xfId="0">
      <alignment wrapText="1"/>
    </xf>
    <xf numFmtId="49" fontId="6" fillId="16" borderId="63" applyAlignment="1" applyProtection="1" pivotButton="0" quotePrefix="0" xfId="0">
      <alignment wrapText="1"/>
      <protection locked="0" hidden="0"/>
    </xf>
    <xf numFmtId="0" fontId="47" fillId="12" borderId="11" applyAlignment="1" pivotButton="0" quotePrefix="0" xfId="0">
      <alignment horizontal="center" vertical="top" wrapText="1"/>
    </xf>
    <xf numFmtId="0" fontId="54" fillId="37" borderId="17" applyAlignment="1" pivotButton="0" quotePrefix="0" xfId="0">
      <alignment vertical="top" wrapText="1"/>
    </xf>
    <xf numFmtId="4" fontId="55" fillId="14" borderId="0" applyAlignment="1" pivotButton="0" quotePrefix="0" xfId="0">
      <alignment horizontal="right"/>
    </xf>
    <xf numFmtId="49" fontId="6" fillId="10" borderId="1" applyAlignment="1" pivotButton="0" quotePrefix="0" xfId="0">
      <alignment wrapText="1"/>
    </xf>
    <xf numFmtId="0" fontId="0" fillId="31" borderId="0" pivotButton="0" quotePrefix="0" xfId="0"/>
    <xf numFmtId="0" fontId="24" fillId="14" borderId="0" applyAlignment="1" pivotButton="0" quotePrefix="0" xfId="14">
      <alignment horizontal="center"/>
    </xf>
    <xf numFmtId="4" fontId="5" fillId="10" borderId="13" applyAlignment="1" pivotButton="0" quotePrefix="0" xfId="0">
      <alignment horizontal="right" wrapText="1"/>
    </xf>
    <xf numFmtId="4" fontId="5" fillId="18" borderId="2" applyAlignment="1" applyProtection="1" pivotButton="0" quotePrefix="0" xfId="0">
      <alignment horizontal="right" wrapText="1"/>
      <protection locked="0" hidden="0"/>
    </xf>
    <xf numFmtId="0" fontId="56" fillId="38" borderId="0" pivotButton="0" quotePrefix="0" xfId="0"/>
    <xf numFmtId="0" fontId="57" fillId="31" borderId="0" applyAlignment="1" pivotButton="0" quotePrefix="0" xfId="0">
      <alignment horizontal="center" wrapText="1"/>
    </xf>
    <xf numFmtId="0" fontId="57" fillId="31" borderId="0" applyAlignment="1" pivotButton="0" quotePrefix="0" xfId="0">
      <alignment wrapText="1"/>
    </xf>
    <xf numFmtId="0" fontId="14" fillId="31" borderId="0" pivotButton="0" quotePrefix="0" xfId="0"/>
    <xf numFmtId="0" fontId="56" fillId="31" borderId="0" pivotButton="0" quotePrefix="0" xfId="0"/>
    <xf numFmtId="49" fontId="50" fillId="14" borderId="0" applyAlignment="1" pivotButton="0" quotePrefix="0" xfId="0">
      <alignment horizontal="left" wrapText="1"/>
    </xf>
    <xf numFmtId="14" fontId="50" fillId="14" borderId="0" applyAlignment="1" pivotButton="0" quotePrefix="0" xfId="0">
      <alignment horizontal="left" wrapText="1"/>
    </xf>
    <xf numFmtId="49" fontId="6" fillId="10" borderId="2" applyAlignment="1" pivotButton="0" quotePrefix="0" xfId="0">
      <alignment horizontal="right" wrapText="1"/>
    </xf>
    <xf numFmtId="4" fontId="2" fillId="10" borderId="2" applyAlignment="1" pivotButton="0" quotePrefix="0" xfId="0">
      <alignment horizontal="right" wrapText="1"/>
    </xf>
    <xf numFmtId="0" fontId="53" fillId="0" borderId="0" applyAlignment="1" pivotButton="0" quotePrefix="0" xfId="0">
      <alignment horizontal="center" vertical="center"/>
    </xf>
    <xf numFmtId="0" fontId="53" fillId="14" borderId="0" pivotButton="0" quotePrefix="0" xfId="0"/>
    <xf numFmtId="0" fontId="53" fillId="0" borderId="0" pivotButton="0" quotePrefix="0" xfId="0"/>
    <xf numFmtId="0" fontId="53" fillId="0" borderId="0" applyProtection="1" pivotButton="0" quotePrefix="0" xfId="0">
      <protection locked="0" hidden="0"/>
    </xf>
    <xf numFmtId="4" fontId="2" fillId="10" borderId="1" applyAlignment="1" pivotButton="0" quotePrefix="1" xfId="0">
      <alignment horizontal="right" wrapText="1"/>
    </xf>
    <xf numFmtId="0" fontId="50" fillId="14" borderId="0" applyAlignment="1" pivotButton="0" quotePrefix="0" xfId="0">
      <alignment horizontal="left"/>
    </xf>
    <xf numFmtId="0" fontId="58" fillId="0" borderId="0" pivotButton="0" quotePrefix="0" xfId="0"/>
    <xf numFmtId="0" fontId="59" fillId="14" borderId="0" applyAlignment="1" pivotButton="0" quotePrefix="0" xfId="14">
      <alignment horizontal="center"/>
    </xf>
    <xf numFmtId="0" fontId="50" fillId="0" borderId="0" pivotButton="0" quotePrefix="0" xfId="0"/>
    <xf numFmtId="0" fontId="60" fillId="14" borderId="0" applyAlignment="1" pivotButton="0" quotePrefix="0" xfId="14">
      <alignment horizontal="center"/>
    </xf>
    <xf numFmtId="0" fontId="61" fillId="0" borderId="0" pivotButton="0" quotePrefix="0" xfId="0"/>
    <xf numFmtId="0" fontId="50" fillId="4" borderId="0" pivotButton="0" quotePrefix="0" xfId="0"/>
    <xf numFmtId="4" fontId="50" fillId="14" borderId="0" pivotButton="0" quotePrefix="0" xfId="0"/>
    <xf numFmtId="0" fontId="50" fillId="4" borderId="0" pivotButton="0" quotePrefix="0" xfId="24"/>
    <xf numFmtId="0" fontId="55" fillId="14" borderId="20" pivotButton="0" quotePrefix="0" xfId="0"/>
    <xf numFmtId="0" fontId="55" fillId="14" borderId="0" pivotButton="0" quotePrefix="0" xfId="0"/>
    <xf numFmtId="2" fontId="55" fillId="14" borderId="0" pivotButton="0" quotePrefix="0" xfId="0"/>
    <xf numFmtId="0" fontId="53" fillId="14" borderId="20" applyAlignment="1" pivotButton="0" quotePrefix="0" xfId="0">
      <alignment horizontal="left" wrapText="1"/>
    </xf>
    <xf numFmtId="4" fontId="59" fillId="14" borderId="0" applyAlignment="1" pivotButton="0" quotePrefix="0" xfId="14">
      <alignment horizontal="center"/>
    </xf>
    <xf numFmtId="49" fontId="6" fillId="10" borderId="1" applyAlignment="1" pivotButton="0" quotePrefix="0" xfId="0">
      <alignment horizontal="left" wrapText="1"/>
    </xf>
    <xf numFmtId="0" fontId="58" fillId="26" borderId="0" pivotButton="0" quotePrefix="0" xfId="0"/>
    <xf numFmtId="0" fontId="58" fillId="26" borderId="20" pivotButton="0" quotePrefix="0" xfId="0"/>
    <xf numFmtId="0" fontId="2" fillId="16" borderId="0" applyAlignment="1" applyProtection="1" pivotButton="0" quotePrefix="0" xfId="0">
      <alignment wrapText="1"/>
      <protection locked="0" hidden="0"/>
    </xf>
    <xf numFmtId="4" fontId="5" fillId="24" borderId="51" applyAlignment="1" pivotButton="0" quotePrefix="0" xfId="0">
      <alignment horizontal="right" wrapText="1"/>
    </xf>
    <xf numFmtId="0" fontId="55" fillId="31" borderId="0" pivotButton="0" quotePrefix="0" xfId="0"/>
    <xf numFmtId="0" fontId="3" fillId="0" borderId="0" pivotButton="0" quotePrefix="0" xfId="14"/>
    <xf numFmtId="0" fontId="3" fillId="0" borderId="0" applyAlignment="1" pivotButton="0" quotePrefix="0" xfId="70">
      <alignment wrapText="1"/>
    </xf>
    <xf numFmtId="0" fontId="11" fillId="0" borderId="0" applyAlignment="1" pivotButton="0" quotePrefix="0" xfId="70">
      <alignment wrapText="1"/>
    </xf>
    <xf numFmtId="0" fontId="11" fillId="0" borderId="0" pivotButton="0" quotePrefix="0" xfId="14"/>
    <xf numFmtId="0" fontId="3" fillId="0" borderId="0" applyAlignment="1" pivotButton="0" quotePrefix="0" xfId="14">
      <alignment wrapText="1"/>
    </xf>
    <xf numFmtId="0" fontId="11" fillId="0" borderId="0" applyAlignment="1" pivotButton="0" quotePrefix="0" xfId="14">
      <alignment wrapText="1"/>
    </xf>
    <xf numFmtId="49" fontId="6" fillId="16" borderId="13" applyAlignment="1" applyProtection="1" pivotButton="0" quotePrefix="0" xfId="0">
      <alignment horizontal="left" wrapText="1"/>
      <protection locked="0" hidden="0"/>
    </xf>
    <xf numFmtId="2" fontId="6" fillId="10" borderId="1" applyAlignment="1" pivotButton="0" quotePrefix="0" xfId="0">
      <alignment horizontal="right" wrapText="1"/>
    </xf>
    <xf numFmtId="49" fontId="6" fillId="10" borderId="1" applyAlignment="1" pivotButton="0" quotePrefix="0" xfId="0">
      <alignment horizontal="right" wrapText="1"/>
    </xf>
    <xf numFmtId="0" fontId="6" fillId="10" borderId="1" applyAlignment="1" pivotButton="0" quotePrefix="0" xfId="0">
      <alignment wrapText="1"/>
    </xf>
    <xf numFmtId="1" fontId="6" fillId="10" borderId="1" applyAlignment="1" pivotButton="0" quotePrefix="0" xfId="0">
      <alignment horizontal="right" wrapText="1"/>
    </xf>
    <xf numFmtId="1" fontId="6" fillId="10" borderId="1" applyAlignment="1" pivotButton="0" quotePrefix="0" xfId="0">
      <alignment horizontal="left" wrapText="1"/>
    </xf>
    <xf numFmtId="49" fontId="6" fillId="10" borderId="2" applyAlignment="1" pivotButton="0" quotePrefix="0" xfId="0">
      <alignment wrapText="1"/>
    </xf>
    <xf numFmtId="1" fontId="6" fillId="10" borderId="2" applyAlignment="1" pivotButton="0" quotePrefix="0" xfId="0">
      <alignment horizontal="right" wrapText="1"/>
    </xf>
    <xf numFmtId="1" fontId="6" fillId="10" borderId="2" applyAlignment="1" pivotButton="0" quotePrefix="0" xfId="0">
      <alignment horizontal="left" wrapText="1"/>
    </xf>
    <xf numFmtId="4" fontId="35" fillId="10" borderId="1" applyAlignment="1" pivotButton="0" quotePrefix="0" xfId="0">
      <alignment horizontal="right" wrapText="1"/>
    </xf>
    <xf numFmtId="4" fontId="2" fillId="10" borderId="1" applyAlignment="1" pivotButton="0" quotePrefix="0" xfId="0">
      <alignment horizontal="left" wrapText="1"/>
    </xf>
    <xf numFmtId="49" fontId="6" fillId="10" borderId="61" applyAlignment="1" pivotButton="0" quotePrefix="0" xfId="0">
      <alignment horizontal="right" wrapText="1"/>
    </xf>
    <xf numFmtId="49" fontId="6" fillId="10" borderId="13" applyAlignment="1" pivotButton="0" quotePrefix="0" xfId="0">
      <alignment horizontal="left" wrapText="1"/>
    </xf>
    <xf numFmtId="3" fontId="6" fillId="10" borderId="1" applyAlignment="1" pivotButton="0" quotePrefix="0" xfId="0">
      <alignment horizontal="right" wrapText="1"/>
    </xf>
    <xf numFmtId="3" fontId="6" fillId="10" borderId="1" applyAlignment="1" pivotButton="0" quotePrefix="0" xfId="0">
      <alignment wrapText="1"/>
    </xf>
    <xf numFmtId="4" fontId="6" fillId="10" borderId="11" applyAlignment="1" pivotButton="0" quotePrefix="0" xfId="0">
      <alignment horizontal="right" wrapText="1"/>
    </xf>
    <xf numFmtId="49" fontId="6" fillId="10" borderId="12" applyAlignment="1" pivotButton="0" quotePrefix="0" xfId="0">
      <alignment horizontal="left" wrapText="1"/>
    </xf>
    <xf numFmtId="49" fontId="6" fillId="10" borderId="10" applyAlignment="1" pivotButton="0" quotePrefix="0" xfId="0">
      <alignment horizontal="right" wrapText="1"/>
    </xf>
    <xf numFmtId="4" fontId="6" fillId="10" borderId="10" applyAlignment="1" pivotButton="0" quotePrefix="0" xfId="0">
      <alignment horizontal="right" wrapText="1"/>
    </xf>
    <xf numFmtId="0" fontId="6" fillId="2" borderId="2" applyAlignment="1" pivotButton="0" quotePrefix="0" xfId="35">
      <alignment horizontal="left" vertical="top" wrapText="1"/>
    </xf>
    <xf numFmtId="0" fontId="0" fillId="0" borderId="8" pivotButton="0" quotePrefix="0" xfId="0"/>
    <xf numFmtId="0" fontId="0" fillId="0" borderId="13" pivotButton="0" quotePrefix="0" xfId="0"/>
    <xf numFmtId="0" fontId="6" fillId="2" borderId="2" applyAlignment="1" pivotButton="0" quotePrefix="0" xfId="35">
      <alignment horizontal="left" wrapText="1"/>
    </xf>
    <xf numFmtId="0" fontId="6" fillId="2" borderId="12" applyAlignment="1" pivotButton="0" quotePrefix="0" xfId="35">
      <alignment horizontal="left" wrapText="1"/>
    </xf>
    <xf numFmtId="0" fontId="0" fillId="0" borderId="19" pivotButton="0" quotePrefix="0" xfId="0"/>
    <xf numFmtId="0" fontId="0" fillId="0" borderId="77" pivotButton="0" quotePrefix="0" xfId="0"/>
    <xf numFmtId="0" fontId="6" fillId="2" borderId="1" applyAlignment="1" pivotButton="0" quotePrefix="0" xfId="35">
      <alignment horizontal="left"/>
    </xf>
    <xf numFmtId="0" fontId="0" fillId="0" borderId="17" pivotButton="0" quotePrefix="0" xfId="0"/>
    <xf numFmtId="0" fontId="0" fillId="0" borderId="0" applyAlignment="1" pivotButton="0" quotePrefix="0" xfId="0">
      <alignment horizontal="center"/>
    </xf>
    <xf numFmtId="0" fontId="0" fillId="0" borderId="0" applyProtection="1" pivotButton="0" quotePrefix="0" xfId="0">
      <protection locked="1" hidden="1"/>
    </xf>
    <xf numFmtId="0" fontId="13" fillId="8" borderId="52" applyAlignment="1" pivotButton="0" quotePrefix="0" xfId="97">
      <alignment horizontal="left" vertical="center"/>
    </xf>
    <xf numFmtId="0" fontId="62" fillId="0" borderId="0" applyAlignment="1" pivotButton="0" quotePrefix="0" xfId="0">
      <alignment horizontal="center" vertical="center" wrapText="1"/>
    </xf>
    <xf numFmtId="0" fontId="0" fillId="0" borderId="0" pivotButton="0" quotePrefix="0" xfId="0"/>
    <xf numFmtId="0" fontId="54" fillId="37" borderId="78" applyAlignment="1" pivotButton="0" quotePrefix="0" xfId="0">
      <alignment horizontal="center" vertical="top" wrapText="1"/>
    </xf>
    <xf numFmtId="0" fontId="0" fillId="0" borderId="53" pivotButton="0" quotePrefix="0" xfId="0"/>
    <xf numFmtId="0" fontId="0" fillId="0" borderId="54" pivotButton="0" quotePrefix="0" xfId="0"/>
    <xf numFmtId="0" fontId="54" fillId="37" borderId="15" applyAlignment="1" pivotButton="0" quotePrefix="0" xfId="0">
      <alignment horizontal="center" vertical="top" wrapText="1"/>
    </xf>
    <xf numFmtId="0" fontId="0" fillId="0" borderId="16" pivotButton="0" quotePrefix="0" xfId="0"/>
    <xf numFmtId="0" fontId="54" fillId="37" borderId="31" applyAlignment="1" pivotButton="0" quotePrefix="0" xfId="0">
      <alignment horizontal="center" vertical="top" wrapText="1"/>
    </xf>
    <xf numFmtId="0" fontId="0" fillId="0" borderId="55" pivotButton="0" quotePrefix="0" xfId="0"/>
    <xf numFmtId="0" fontId="0" fillId="0" borderId="56" pivotButton="0" quotePrefix="0" xfId="0"/>
    <xf numFmtId="0" fontId="14" fillId="14" borderId="0" applyAlignment="1" pivotButton="0" quotePrefix="0" xfId="0">
      <alignment horizontal="center" wrapText="1"/>
    </xf>
    <xf numFmtId="0" fontId="8" fillId="23" borderId="5" applyAlignment="1" pivotButton="0" quotePrefix="0" xfId="52">
      <alignment horizontal="center" vertical="center" wrapText="1"/>
    </xf>
    <xf numFmtId="0" fontId="0" fillId="0" borderId="6" pivotButton="0" quotePrefix="0" xfId="0"/>
    <xf numFmtId="0" fontId="29" fillId="11" borderId="66" applyAlignment="1" pivotButton="0" quotePrefix="0" xfId="0">
      <alignment horizontal="center" vertical="center" wrapText="1"/>
    </xf>
    <xf numFmtId="0" fontId="0" fillId="0" borderId="79" pivotButton="0" quotePrefix="0" xfId="0"/>
    <xf numFmtId="0" fontId="29" fillId="17" borderId="66" applyAlignment="1" pivotButton="0" quotePrefix="0" xfId="52">
      <alignment horizontal="center" vertical="center" wrapText="1"/>
    </xf>
    <xf numFmtId="0" fontId="29" fillId="11" borderId="1" applyAlignment="1" pivotButton="0" quotePrefix="0" xfId="0">
      <alignment horizontal="right" wrapText="1"/>
    </xf>
    <xf numFmtId="0" fontId="0" fillId="0" borderId="80" pivotButton="0" quotePrefix="0" xfId="0"/>
    <xf numFmtId="0" fontId="49" fillId="23" borderId="1" applyAlignment="1" pivotButton="0" quotePrefix="0" xfId="0">
      <alignment horizontal="center" vertical="center"/>
    </xf>
    <xf numFmtId="0" fontId="49" fillId="23" borderId="1" applyAlignment="1" pivotButton="0" quotePrefix="0" xfId="52">
      <alignment horizontal="center" vertical="center" wrapText="1"/>
    </xf>
    <xf numFmtId="0" fontId="8" fillId="23" borderId="1" applyAlignment="1" pivotButton="0" quotePrefix="0" xfId="0">
      <alignment horizontal="center" vertical="center" wrapText="1"/>
    </xf>
    <xf numFmtId="0" fontId="29" fillId="17" borderId="1" applyAlignment="1" pivotButton="0" quotePrefix="0" xfId="0">
      <alignment horizontal="center" vertical="center"/>
    </xf>
    <xf numFmtId="0" fontId="29" fillId="11" borderId="2" applyAlignment="1" pivotButton="0" quotePrefix="0" xfId="0">
      <alignment horizontal="right" wrapText="1"/>
    </xf>
    <xf numFmtId="0" fontId="49" fillId="23" borderId="21" applyAlignment="1" pivotButton="0" quotePrefix="0" xfId="52">
      <alignment horizontal="center" vertical="center" wrapText="1"/>
    </xf>
    <xf numFmtId="0" fontId="0" fillId="0" borderId="22" pivotButton="0" quotePrefix="0" xfId="0"/>
    <xf numFmtId="0" fontId="31" fillId="15" borderId="66" applyAlignment="1" pivotButton="0" quotePrefix="0" xfId="0">
      <alignment horizontal="center" vertical="center" wrapText="1"/>
    </xf>
    <xf numFmtId="0" fontId="49" fillId="23" borderId="1" applyAlignment="1" pivotButton="0" quotePrefix="0" xfId="55">
      <alignment horizontal="center" vertical="center" wrapText="1"/>
    </xf>
    <xf numFmtId="0" fontId="10" fillId="12" borderId="1" applyAlignment="1" pivotButton="0" quotePrefix="0" xfId="0">
      <alignment horizontal="center" wrapText="1"/>
    </xf>
    <xf numFmtId="0" fontId="49" fillId="23" borderId="10" applyAlignment="1" pivotButton="0" quotePrefix="0" xfId="55">
      <alignment horizontal="center" vertical="center" wrapText="1"/>
    </xf>
    <xf numFmtId="0" fontId="0" fillId="0" borderId="49" pivotButton="0" quotePrefix="0" xfId="0"/>
    <xf numFmtId="0" fontId="0" fillId="0" borderId="50" pivotButton="0" quotePrefix="0" xfId="0"/>
    <xf numFmtId="4" fontId="35" fillId="14" borderId="0" applyAlignment="1" pivotButton="0" quotePrefix="0" xfId="0">
      <alignment horizontal="center" wrapText="1"/>
    </xf>
    <xf numFmtId="0" fontId="45" fillId="0" borderId="0" pivotButton="0" quotePrefix="0" xfId="0"/>
    <xf numFmtId="0" fontId="45" fillId="21" borderId="0" pivotButton="0" quotePrefix="0" xfId="0"/>
    <xf numFmtId="0" fontId="45" fillId="0" borderId="0" applyAlignment="1" pivotButton="0" quotePrefix="0" xfId="0">
      <alignment horizontal="center"/>
    </xf>
    <xf numFmtId="0" fontId="40" fillId="12" borderId="1" applyAlignment="1" pivotButton="0" quotePrefix="0" xfId="0">
      <alignment horizontal="center" wrapText="1"/>
    </xf>
    <xf numFmtId="0" fontId="35" fillId="12" borderId="1" applyAlignment="1" pivotButton="0" quotePrefix="0" xfId="0">
      <alignment horizontal="center" wrapText="1"/>
    </xf>
    <xf numFmtId="4" fontId="29" fillId="15" borderId="1" applyAlignment="1" pivotButton="0" quotePrefix="0" xfId="0">
      <alignment horizontal="right" wrapText="1"/>
    </xf>
    <xf numFmtId="0" fontId="49" fillId="23" borderId="15" applyAlignment="1" pivotButton="0" quotePrefix="0" xfId="52">
      <alignment horizontal="center" vertical="center" wrapText="1"/>
    </xf>
    <xf numFmtId="4" fontId="63" fillId="15" borderId="72" applyAlignment="1" pivotButton="0" quotePrefix="0" xfId="0">
      <alignment horizontal="right" wrapText="1"/>
    </xf>
    <xf numFmtId="0" fontId="14" fillId="0" borderId="0" pivotButton="0" quotePrefix="0" xfId="0"/>
    <xf numFmtId="0" fontId="0" fillId="0" borderId="72" pivotButton="0" quotePrefix="0" xfId="0"/>
    <xf numFmtId="0" fontId="8" fillId="23" borderId="81" applyAlignment="1" pivotButton="0" quotePrefix="0" xfId="55">
      <alignment horizontal="center" vertical="center" wrapText="1"/>
    </xf>
    <xf numFmtId="0" fontId="0" fillId="0" borderId="67" pivotButton="0" quotePrefix="0" xfId="0"/>
    <xf numFmtId="0" fontId="0" fillId="0" borderId="68" pivotButton="0" quotePrefix="0" xfId="0"/>
    <xf numFmtId="0" fontId="29" fillId="11" borderId="63" applyAlignment="1" pivotButton="0" quotePrefix="0" xfId="0">
      <alignment horizontal="right" wrapText="1"/>
    </xf>
    <xf numFmtId="0" fontId="0" fillId="0" borderId="69" pivotButton="0" quotePrefix="0" xfId="0"/>
    <xf numFmtId="0" fontId="0" fillId="0" borderId="70" pivotButton="0" quotePrefix="0" xfId="0"/>
    <xf numFmtId="4" fontId="29" fillId="11" borderId="1" applyAlignment="1" pivotButton="0" quotePrefix="0" xfId="0">
      <alignment horizontal="right" wrapText="1"/>
    </xf>
    <xf numFmtId="4" fontId="29" fillId="15" borderId="72" applyAlignment="1" pivotButton="0" quotePrefix="0" xfId="0">
      <alignment horizontal="right" wrapText="1"/>
    </xf>
    <xf numFmtId="0" fontId="8" fillId="23" borderId="1" applyAlignment="1" pivotButton="0" quotePrefix="0" xfId="55">
      <alignment horizontal="center" vertical="center" wrapText="1"/>
    </xf>
    <xf numFmtId="0" fontId="8" fillId="23" borderId="47" applyAlignment="1" pivotButton="0" quotePrefix="0" xfId="55">
      <alignment horizontal="center" vertical="center" wrapText="1"/>
    </xf>
    <xf numFmtId="0" fontId="14" fillId="0" borderId="0" applyAlignment="1" pivotButton="0" quotePrefix="0" xfId="0">
      <alignment vertical="center"/>
    </xf>
    <xf numFmtId="0" fontId="0" fillId="0" borderId="47" pivotButton="0" quotePrefix="0" xfId="0"/>
    <xf numFmtId="0" fontId="8" fillId="23" borderId="71" applyAlignment="1" pivotButton="0" quotePrefix="0" xfId="55">
      <alignment horizontal="center" vertical="center" wrapText="1"/>
    </xf>
    <xf numFmtId="0" fontId="0" fillId="0" borderId="73" pivotButton="0" quotePrefix="0" xfId="0"/>
    <xf numFmtId="4" fontId="29" fillId="15" borderId="61" applyAlignment="1" pivotButton="0" quotePrefix="0" xfId="0">
      <alignment horizontal="right" wrapText="1"/>
    </xf>
    <xf numFmtId="0" fontId="0" fillId="0" borderId="64" pivotButton="0" quotePrefix="0" xfId="0"/>
    <xf numFmtId="0" fontId="8" fillId="23" borderId="11" applyAlignment="1" pivotButton="0" quotePrefix="0" xfId="55">
      <alignment horizontal="center" vertical="center" wrapText="1"/>
    </xf>
    <xf numFmtId="0" fontId="0" fillId="0" borderId="7" pivotButton="0" quotePrefix="0" xfId="0"/>
    <xf numFmtId="0" fontId="29" fillId="11" borderId="1" applyAlignment="1" pivotButton="0" quotePrefix="0" xfId="0">
      <alignment horizontal="center" vertical="center" wrapText="1"/>
    </xf>
    <xf numFmtId="0" fontId="29" fillId="11" borderId="5" applyAlignment="1" pivotButton="0" quotePrefix="0" xfId="0">
      <alignment horizontal="right" wrapText="1"/>
    </xf>
    <xf numFmtId="0" fontId="48" fillId="0" borderId="0" applyAlignment="1" pivotButton="0" quotePrefix="0" xfId="0">
      <alignment horizontal="left" vertical="top" wrapText="1"/>
    </xf>
    <xf numFmtId="0" fontId="46" fillId="0" borderId="0" applyAlignment="1" pivotButton="0" quotePrefix="0" xfId="0">
      <alignment horizontal="center"/>
    </xf>
    <xf numFmtId="0" fontId="46" fillId="0" borderId="0" pivotButton="0" quotePrefix="0" xfId="0"/>
    <xf numFmtId="0" fontId="29" fillId="11" borderId="75" applyAlignment="1" pivotButton="0" quotePrefix="0" xfId="0">
      <alignment horizontal="center" vertical="center" wrapText="1"/>
    </xf>
    <xf numFmtId="0" fontId="8" fillId="23" borderId="3" applyAlignment="1" pivotButton="0" quotePrefix="0" xfId="55">
      <alignment horizontal="center" vertical="center"/>
    </xf>
    <xf numFmtId="0" fontId="29" fillId="11" borderId="74" applyAlignment="1" pivotButton="0" quotePrefix="0" xfId="0">
      <alignment horizontal="center" vertical="center" wrapText="1"/>
    </xf>
    <xf numFmtId="0" fontId="0" fillId="0" borderId="57" pivotButton="0" quotePrefix="0" xfId="0"/>
    <xf numFmtId="0" fontId="8" fillId="23" borderId="58" applyAlignment="1" pivotButton="0" quotePrefix="0" xfId="55">
      <alignment horizontal="center" vertical="center"/>
    </xf>
    <xf numFmtId="0" fontId="8" fillId="23" borderId="52" applyAlignment="1" pivotButton="0" quotePrefix="0" xfId="55">
      <alignment horizontal="center" vertical="center"/>
    </xf>
    <xf numFmtId="4" fontId="6" fillId="14" borderId="0" applyAlignment="1" pivotButton="0" quotePrefix="0" xfId="0">
      <alignment horizontal="center" wrapText="1"/>
    </xf>
    <xf numFmtId="0" fontId="33" fillId="21" borderId="0" pivotButton="0" quotePrefix="0" xfId="0"/>
    <xf numFmtId="4" fontId="29" fillId="15" borderId="0" applyAlignment="1" pivotButton="0" quotePrefix="0" xfId="0">
      <alignment horizontal="right" wrapText="1"/>
    </xf>
    <xf numFmtId="0" fontId="50" fillId="0" borderId="0" pivotButton="0" quotePrefix="0" xfId="0"/>
    <xf numFmtId="0" fontId="8" fillId="23" borderId="15" applyAlignment="1" pivotButton="0" quotePrefix="0" xfId="0">
      <alignment horizontal="center" vertical="center" wrapText="1"/>
    </xf>
    <xf numFmtId="4" fontId="29" fillId="15" borderId="2" applyAlignment="1" pivotButton="0" quotePrefix="0" xfId="0">
      <alignment horizontal="right" wrapText="1"/>
    </xf>
    <xf numFmtId="4" fontId="29" fillId="15" borderId="2" applyAlignment="1" pivotButton="0" quotePrefix="0" xfId="0">
      <alignment horizontal="right"/>
    </xf>
    <xf numFmtId="4" fontId="29" fillId="15" borderId="6" applyAlignment="1" pivotButton="0" quotePrefix="0" xfId="0">
      <alignment horizontal="right" wrapText="1"/>
    </xf>
    <xf numFmtId="4" fontId="37" fillId="15" borderId="1" applyAlignment="1" pivotButton="0" quotePrefix="0" xfId="0">
      <alignment horizontal="right" wrapText="1"/>
    </xf>
    <xf numFmtId="0" fontId="8" fillId="23" borderId="2" applyAlignment="1" pivotButton="0" quotePrefix="0" xfId="0">
      <alignment horizontal="center" vertical="center" wrapText="1"/>
    </xf>
    <xf numFmtId="4" fontId="37" fillId="15" borderId="2" applyAlignment="1" pivotButton="0" quotePrefix="0" xfId="0">
      <alignment horizontal="right" wrapText="1"/>
    </xf>
    <xf numFmtId="0" fontId="29" fillId="11" borderId="2" applyAlignment="1" pivotButton="0" quotePrefix="0" xfId="0">
      <alignment horizontal="right" vertical="top" wrapText="1"/>
    </xf>
    <xf numFmtId="0" fontId="29" fillId="11" borderId="1" applyAlignment="1" pivotButton="0" quotePrefix="0" xfId="0">
      <alignment horizontal="right" vertical="top" wrapText="1"/>
    </xf>
    <xf numFmtId="0" fontId="29" fillId="11" borderId="9" applyAlignment="1" pivotButton="0" quotePrefix="0" xfId="0">
      <alignment horizontal="right" vertical="top" wrapText="1"/>
    </xf>
    <xf numFmtId="0" fontId="29" fillId="11" borderId="43" applyAlignment="1" pivotButton="0" quotePrefix="0" xfId="0">
      <alignment horizontal="right" vertical="top" wrapText="1"/>
    </xf>
    <xf numFmtId="0" fontId="0" fillId="0" borderId="59" pivotButton="0" quotePrefix="0" xfId="0"/>
    <xf numFmtId="4" fontId="29" fillId="11" borderId="10" applyAlignment="1" pivotButton="0" quotePrefix="0" xfId="0">
      <alignment horizontal="right" wrapText="1"/>
    </xf>
    <xf numFmtId="4" fontId="29" fillId="11" borderId="76" applyAlignment="1" pivotButton="0" quotePrefix="0" xfId="0">
      <alignment horizontal="right" wrapText="1"/>
    </xf>
    <xf numFmtId="0" fontId="0" fillId="0" borderId="82" pivotButton="0" quotePrefix="0" xfId="0"/>
    <xf numFmtId="4" fontId="29" fillId="11" borderId="1" applyAlignment="1" pivotButton="0" quotePrefix="0" xfId="0">
      <alignment horizontal="center" vertical="center" wrapText="1"/>
    </xf>
    <xf numFmtId="4" fontId="29" fillId="11" borderId="83" applyAlignment="1" pivotButton="0" quotePrefix="0" xfId="0">
      <alignment horizontal="right" wrapText="1"/>
    </xf>
    <xf numFmtId="0" fontId="0" fillId="0" borderId="60" pivotButton="0" quotePrefix="0" xfId="0"/>
    <xf numFmtId="0" fontId="49" fillId="20" borderId="49" applyAlignment="1" pivotButton="0" quotePrefix="0" xfId="0">
      <alignment horizontal="center" vertical="center" wrapText="1"/>
    </xf>
    <xf numFmtId="0" fontId="49" fillId="23" borderId="15" applyAlignment="1" pivotButton="0" quotePrefix="0" xfId="55">
      <alignment horizontal="center" vertical="center" wrapText="1"/>
    </xf>
    <xf numFmtId="0" fontId="15" fillId="14" borderId="0" applyAlignment="1" pivotButton="0" quotePrefix="0" xfId="0">
      <alignment horizontal="center"/>
    </xf>
    <xf numFmtId="0" fontId="0" fillId="0" borderId="0" applyAlignment="1" pivotButton="0" quotePrefix="0" xfId="0">
      <alignment wrapText="1"/>
    </xf>
    <xf numFmtId="0" fontId="23" fillId="14" borderId="0" applyAlignment="1" pivotButton="0" quotePrefix="0" xfId="0">
      <alignment horizontal="center" wrapText="1"/>
    </xf>
    <xf numFmtId="0" fontId="2" fillId="0" borderId="0" applyAlignment="1" pivotButton="0" quotePrefix="0" xfId="0">
      <alignment wrapText="1"/>
    </xf>
    <xf numFmtId="0" fontId="5" fillId="39" borderId="1" applyAlignment="1" pivotButton="0" quotePrefix="0" xfId="0">
      <alignment horizontal="left" vertical="top" wrapText="1"/>
    </xf>
    <xf numFmtId="0" fontId="0" fillId="0" borderId="10" pivotButton="0" quotePrefix="0" xfId="0"/>
    <xf numFmtId="49" fontId="2" fillId="40" borderId="1" applyAlignment="1" pivotButton="0" quotePrefix="0" xfId="0">
      <alignment horizontal="left" wrapText="1"/>
    </xf>
    <xf numFmtId="49" fontId="6" fillId="10" borderId="2" applyAlignment="1" pivotButton="0" quotePrefix="0" xfId="0">
      <alignment horizontal="left" wrapText="1"/>
    </xf>
    <xf numFmtId="49" fontId="6" fillId="10" borderId="2" applyAlignment="1" pivotButton="0" quotePrefix="0" xfId="0">
      <alignment horizontal="right" wrapText="1"/>
    </xf>
    <xf numFmtId="2" fontId="2" fillId="10" borderId="1" applyAlignment="1" pivotButton="0" quotePrefix="0" xfId="0">
      <alignment horizontal="right" wrapText="1"/>
    </xf>
    <xf numFmtId="4" fontId="2" fillId="10" borderId="2" applyAlignment="1" pivotButton="0" quotePrefix="0" xfId="0">
      <alignment horizontal="right" wrapText="1"/>
    </xf>
    <xf numFmtId="4" fontId="6" fillId="10" borderId="2" applyAlignment="1" pivotButton="0" quotePrefix="0" xfId="0">
      <alignment horizontal="right"/>
    </xf>
    <xf numFmtId="49" fontId="6" fillId="10" borderId="63" applyAlignment="1" pivotButton="0" quotePrefix="0" xfId="0">
      <alignment wrapText="1"/>
    </xf>
    <xf numFmtId="49" fontId="6" fillId="10" borderId="61" applyAlignment="1" pivotButton="0" quotePrefix="0" xfId="0">
      <alignment wrapText="1"/>
    </xf>
    <xf numFmtId="4" fontId="10" fillId="10" borderId="12" applyAlignment="1" pivotButton="0" quotePrefix="0" xfId="0">
      <alignment horizontal="right" wrapText="1"/>
    </xf>
    <xf numFmtId="0" fontId="2" fillId="10" borderId="1" pivotButton="0" quotePrefix="0" xfId="0"/>
  </cellXfs>
  <cellStyles count="129">
    <cellStyle name="Normal" xfId="0" builtinId="0"/>
    <cellStyle name="ErrorLink" xfId="1"/>
    <cellStyle name="ErrorLink 2" xfId="2"/>
    <cellStyle name="ErrorLink 3" xfId="3"/>
    <cellStyle name="Excel Built-in Normal" xfId="4"/>
    <cellStyle name="Excel Built-in Normal 2" xfId="5"/>
    <cellStyle name="Excel Built-in Normal 3" xfId="6"/>
    <cellStyle name="Excel Built-in Normal 4" xfId="7"/>
    <cellStyle name="Excel Built-in Normal 5" xfId="8"/>
    <cellStyle name="Excel Built-in Normal 6" xfId="9"/>
    <cellStyle name="Excel Built-in Normal 7" xfId="10"/>
    <cellStyle name="Excel Built-in Normal 8" xfId="11"/>
    <cellStyle name="Excel Built-in Normal 9" xfId="12"/>
    <cellStyle name="Hyperlink" xfId="13" builtinId="8"/>
    <cellStyle name="Normal 10" xfId="14"/>
    <cellStyle name="Normal 10 2" xfId="15"/>
    <cellStyle name="Normal 10 3" xfId="16"/>
    <cellStyle name="Normal 10 4" xfId="17"/>
    <cellStyle name="Normal 10 5" xfId="18"/>
    <cellStyle name="Normal 10 6" xfId="19"/>
    <cellStyle name="Normal 10 7" xfId="20"/>
    <cellStyle name="Normal 10 8" xfId="21"/>
    <cellStyle name="Normal 10 9" xfId="22"/>
    <cellStyle name="Normal 11" xfId="23"/>
    <cellStyle name="Normal 12" xfId="24"/>
    <cellStyle name="Normal 13" xfId="25"/>
    <cellStyle name="Normal 14" xfId="26"/>
    <cellStyle name="Normal 15" xfId="27"/>
    <cellStyle name="Normal 16" xfId="28"/>
    <cellStyle name="Normal 17" xfId="29"/>
    <cellStyle name="Normal 18" xfId="30"/>
    <cellStyle name="Normal 19" xfId="31"/>
    <cellStyle name="Normal 2" xfId="32"/>
    <cellStyle name="Normal 2 10" xfId="33"/>
    <cellStyle name="Normal 2 11" xfId="34"/>
    <cellStyle name="Normal 2 2" xfId="35"/>
    <cellStyle name="Normal 2 3" xfId="36"/>
    <cellStyle name="Normal 2 3 2" xfId="37"/>
    <cellStyle name="Normal 2 4" xfId="38"/>
    <cellStyle name="Normal 2 4 2" xfId="39"/>
    <cellStyle name="Normal 2 5" xfId="40"/>
    <cellStyle name="Normal 2 5 2" xfId="41"/>
    <cellStyle name="Normal 2 6" xfId="42"/>
    <cellStyle name="Normal 2 6 2" xfId="43"/>
    <cellStyle name="Normal 2 7" xfId="44"/>
    <cellStyle name="Normal 2 8" xfId="45"/>
    <cellStyle name="Normal 2 9" xfId="46"/>
    <cellStyle name="Normal 20" xfId="47"/>
    <cellStyle name="Normal 21" xfId="48"/>
    <cellStyle name="Normal 22" xfId="49"/>
    <cellStyle name="Normal 23" xfId="50"/>
    <cellStyle name="Normal 24" xfId="51"/>
    <cellStyle name="Normal 25" xfId="52"/>
    <cellStyle name="Normal 26" xfId="53"/>
    <cellStyle name="Normal 27" xfId="54"/>
    <cellStyle name="Normal 28" xfId="55"/>
    <cellStyle name="Normal 29" xfId="56"/>
    <cellStyle name="Normal 3" xfId="57"/>
    <cellStyle name="Normal 3 2" xfId="58"/>
    <cellStyle name="Normal 30" xfId="59"/>
    <cellStyle name="Normal 31" xfId="60"/>
    <cellStyle name="Normal 32 2" xfId="61"/>
    <cellStyle name="Normal 32 3" xfId="62"/>
    <cellStyle name="Normal 33 2" xfId="63"/>
    <cellStyle name="Normal 34" xfId="64"/>
    <cellStyle name="Normal 34 2" xfId="65"/>
    <cellStyle name="Normal 34 3" xfId="66"/>
    <cellStyle name="Normal 35" xfId="67"/>
    <cellStyle name="Normal 35 2" xfId="68"/>
    <cellStyle name="Normal 35 3" xfId="69"/>
    <cellStyle name="Normal 36 2" xfId="70"/>
    <cellStyle name="Normal 36 3" xfId="71"/>
    <cellStyle name="Normal 36 4" xfId="72"/>
    <cellStyle name="Normal 36 5" xfId="73"/>
    <cellStyle name="Normal 36 6" xfId="74"/>
    <cellStyle name="Normal 36 7" xfId="75"/>
    <cellStyle name="Normal 39" xfId="76"/>
    <cellStyle name="Normal 39 10" xfId="77"/>
    <cellStyle name="Normal 39 11" xfId="78"/>
    <cellStyle name="Normal 39 2" xfId="79"/>
    <cellStyle name="Normal 39 3" xfId="80"/>
    <cellStyle name="Normal 39 4" xfId="81"/>
    <cellStyle name="Normal 39 5" xfId="82"/>
    <cellStyle name="Normal 39 6" xfId="83"/>
    <cellStyle name="Normal 39 7" xfId="84"/>
    <cellStyle name="Normal 39 8" xfId="85"/>
    <cellStyle name="Normal 39 9" xfId="86"/>
    <cellStyle name="Normal 4" xfId="87"/>
    <cellStyle name="Normal 4 2" xfId="88"/>
    <cellStyle name="Normal 47" xfId="89"/>
    <cellStyle name="Normal 47 2" xfId="90"/>
    <cellStyle name="Normal 47 3" xfId="91"/>
    <cellStyle name="Normal 47 4" xfId="92"/>
    <cellStyle name="Normal 48" xfId="93"/>
    <cellStyle name="Normal 48 2" xfId="94"/>
    <cellStyle name="Normal 49" xfId="95"/>
    <cellStyle name="Normal 49 2" xfId="96"/>
    <cellStyle name="Normal 5" xfId="97"/>
    <cellStyle name="Normal 5 2" xfId="98"/>
    <cellStyle name="Normal 5 3" xfId="99"/>
    <cellStyle name="Normal 5 4" xfId="100"/>
    <cellStyle name="Normal 5 5" xfId="101"/>
    <cellStyle name="Normal 5 6" xfId="102"/>
    <cellStyle name="Normal 5 7" xfId="103"/>
    <cellStyle name="Normal 5 8" xfId="104"/>
    <cellStyle name="Normal 5 9" xfId="105"/>
    <cellStyle name="Normal 50 2" xfId="106"/>
    <cellStyle name="Normal 6" xfId="107"/>
    <cellStyle name="Normal 6 2" xfId="108"/>
    <cellStyle name="Normal 7" xfId="109"/>
    <cellStyle name="Normal 7 2" xfId="110"/>
    <cellStyle name="Normal 7 2 2" xfId="111"/>
    <cellStyle name="Normal 7 2 3" xfId="112"/>
    <cellStyle name="Normal 7 2 4" xfId="113"/>
    <cellStyle name="Normal 7 2 5" xfId="114"/>
    <cellStyle name="Normal 7 2 6" xfId="115"/>
    <cellStyle name="Normal 7 2 7" xfId="116"/>
    <cellStyle name="Normal 7 2 8" xfId="117"/>
    <cellStyle name="Normal 7 2 9" xfId="118"/>
    <cellStyle name="Normal 8" xfId="119"/>
    <cellStyle name="Normal 8 2" xfId="120"/>
    <cellStyle name="Normal 8 3" xfId="121"/>
    <cellStyle name="Normal 8 4" xfId="122"/>
    <cellStyle name="Normal 8 5" xfId="123"/>
    <cellStyle name="Normal 8 6" xfId="124"/>
    <cellStyle name="Normal 8 7" xfId="125"/>
    <cellStyle name="Normal 8 8" xfId="126"/>
    <cellStyle name="Normal 8 9" xfId="127"/>
    <cellStyle name="Normal 9" xfId="128"/>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worksheet" Target="/xl/worksheets/sheet17.xml" Id="rId17" /><Relationship Type="http://schemas.openxmlformats.org/officeDocument/2006/relationships/worksheet" Target="/xl/worksheets/sheet18.xml" Id="rId18" /><Relationship Type="http://schemas.openxmlformats.org/officeDocument/2006/relationships/worksheet" Target="/xl/worksheets/sheet19.xml" Id="rId19" /><Relationship Type="http://schemas.openxmlformats.org/officeDocument/2006/relationships/worksheet" Target="/xl/worksheets/sheet20.xml" Id="rId20" /><Relationship Type="http://schemas.openxmlformats.org/officeDocument/2006/relationships/worksheet" Target="/xl/worksheets/sheet21.xml" Id="rId21" /><Relationship Type="http://schemas.openxmlformats.org/officeDocument/2006/relationships/worksheet" Target="/xl/worksheets/sheet22.xml" Id="rId22" /><Relationship Type="http://schemas.openxmlformats.org/officeDocument/2006/relationships/worksheet" Target="/xl/worksheets/sheet23.xml" Id="rId23" /><Relationship Type="http://schemas.openxmlformats.org/officeDocument/2006/relationships/worksheet" Target="/xl/worksheets/sheet24.xml" Id="rId24" /><Relationship Type="http://schemas.openxmlformats.org/officeDocument/2006/relationships/worksheet" Target="/xl/worksheets/sheet25.xml" Id="rId25" /><Relationship Type="http://schemas.openxmlformats.org/officeDocument/2006/relationships/worksheet" Target="/xl/worksheets/sheet26.xml" Id="rId26" /><Relationship Type="http://schemas.openxmlformats.org/officeDocument/2006/relationships/worksheet" Target="/xl/worksheets/sheet27.xml" Id="rId27" /><Relationship Type="http://schemas.openxmlformats.org/officeDocument/2006/relationships/worksheet" Target="/xl/worksheets/sheet28.xml" Id="rId28" /><Relationship Type="http://schemas.openxmlformats.org/officeDocument/2006/relationships/worksheet" Target="/xl/worksheets/sheet29.xml" Id="rId29" /><Relationship Type="http://schemas.openxmlformats.org/officeDocument/2006/relationships/worksheet" Target="/xl/worksheets/sheet30.xml" Id="rId30" /><Relationship Type="http://schemas.openxmlformats.org/officeDocument/2006/relationships/worksheet" Target="/xl/worksheets/sheet31.xml" Id="rId31" /><Relationship Type="http://schemas.openxmlformats.org/officeDocument/2006/relationships/worksheet" Target="/xl/worksheets/sheet32.xml" Id="rId32" /><Relationship Type="http://schemas.openxmlformats.org/officeDocument/2006/relationships/worksheet" Target="/xl/worksheets/sheet33.xml" Id="rId33" /><Relationship Type="http://schemas.openxmlformats.org/officeDocument/2006/relationships/worksheet" Target="/xl/worksheets/sheet34.xml" Id="rId34" /><Relationship Type="http://schemas.openxmlformats.org/officeDocument/2006/relationships/externalLink" Target="/xl/externalLinks/externalLink1.xml" Id="rId35" /><Relationship Type="http://schemas.openxmlformats.org/officeDocument/2006/relationships/externalLink" Target="/xl/externalLinks/externalLink2.xml" Id="rId36" /><Relationship Type="http://schemas.openxmlformats.org/officeDocument/2006/relationships/externalLink" Target="/xl/externalLinks/externalLink3.xml" Id="rId37" /><Relationship Type="http://schemas.openxmlformats.org/officeDocument/2006/relationships/externalLink" Target="/xl/externalLinks/externalLink4.xml" Id="rId38" /><Relationship Type="http://schemas.openxmlformats.org/officeDocument/2006/relationships/styles" Target="styles.xml" Id="rId39" /><Relationship Type="http://schemas.openxmlformats.org/officeDocument/2006/relationships/theme" Target="theme/theme1.xml" Id="rId40" /><Relationship Type="http://schemas.microsoft.com/office/2006/relationships/vbaProject" Target="vbaProject.bin" Id="rId41" /></Relationships>
</file>

<file path=xl/comments/comment1.xml><?xml version="1.0" encoding="utf-8"?>
<comments xmlns="http://schemas.openxmlformats.org/spreadsheetml/2006/main">
  <authors>
    <author>Atul  Jha</author>
  </authors>
  <commentList>
    <comment ref="C24" authorId="0" shapeId="0">
      <text>
        <t>Atul  Jha:
Y: XML in Uploadable Zip
N/Blank: XLS in Uploadable Zip</t>
      </text>
    </comment>
  </commentList>
</comments>
</file>

<file path=xl/drawings/_rels/drawing1.xml.rels><Relationships xmlns="http://schemas.openxmlformats.org/package/2006/relationships"><Relationship Type="http://schemas.openxmlformats.org/officeDocument/2006/relationships/image" Target="/xl/media/image1.png" Id="rId1" /><Relationship Type="http://schemas.openxmlformats.org/officeDocument/2006/relationships/image" Target="/xl/media/image2.png" Id="rId2" /></Relationships>
</file>

<file path=xl/drawings/_rels/drawing2.xml.rels><Relationships xmlns="http://schemas.openxmlformats.org/package/2006/relationships"><Relationship Type="http://schemas.openxmlformats.org/officeDocument/2006/relationships/image" Target="/xl/media/image3.png" Id="rId1" /></Relationships>
</file>

<file path=xl/drawings/_rels/drawing3.xml.rels><Relationships xmlns="http://schemas.openxmlformats.org/package/2006/relationships"><Relationship Type="http://schemas.openxmlformats.org/officeDocument/2006/relationships/image" Target="/xl/media/image4.png" Id="rId1" /><Relationship Type="http://schemas.openxmlformats.org/officeDocument/2006/relationships/image" Target="/xl/media/image5.png" Id="rId2" /><Relationship Type="http://schemas.openxmlformats.org/officeDocument/2006/relationships/image" Target="/xl/media/image6.png" Id="rId3" /><Relationship Type="http://schemas.openxmlformats.org/officeDocument/2006/relationships/image" Target="/xl/media/image7.png" Id="rId4" /><Relationship Type="http://schemas.openxmlformats.org/officeDocument/2006/relationships/image" Target="/xl/media/image8.png" Id="rId5" /><Relationship Type="http://schemas.openxmlformats.org/officeDocument/2006/relationships/image" Target="/xl/media/image9.png" Id="rId6" /><Relationship Type="http://schemas.openxmlformats.org/officeDocument/2006/relationships/image" Target="/xl/media/image10.png" Id="rId7" /><Relationship Type="http://schemas.openxmlformats.org/officeDocument/2006/relationships/image" Target="/xl/media/image11.png" Id="rId8" /><Relationship Type="http://schemas.openxmlformats.org/officeDocument/2006/relationships/image" Target="/xl/media/image12.png" Id="rId9" /><Relationship Type="http://schemas.openxmlformats.org/officeDocument/2006/relationships/image" Target="/xl/media/image13.png" Id="rId10" /></Relationships>
</file>

<file path=xl/drawings/_rels/drawing4.xml.rels><Relationships xmlns="http://schemas.openxmlformats.org/package/2006/relationships"><Relationship Type="http://schemas.openxmlformats.org/officeDocument/2006/relationships/image" Target="/xl/media/image14.png" Id="rId1" /><Relationship Type="http://schemas.openxmlformats.org/officeDocument/2006/relationships/image" Target="/xl/media/image15.png" Id="rId2" /><Relationship Type="http://schemas.openxmlformats.org/officeDocument/2006/relationships/image" Target="/xl/media/image16.png" Id="rId3" /><Relationship Type="http://schemas.openxmlformats.org/officeDocument/2006/relationships/image" Target="/xl/media/image17.png" Id="rId4" /><Relationship Type="http://schemas.openxmlformats.org/officeDocument/2006/relationships/image" Target="/xl/media/image18.png" Id="rId5" /><Relationship Type="http://schemas.openxmlformats.org/officeDocument/2006/relationships/image" Target="/xl/media/image19.png" Id="rId6" /></Relationships>
</file>

<file path=xl/drawings/_rels/drawing5.xml.rels><Relationships xmlns="http://schemas.openxmlformats.org/package/2006/relationships"><Relationship Type="http://schemas.openxmlformats.org/officeDocument/2006/relationships/image" Target="/xl/media/image20.png" Id="rId1" /><Relationship Type="http://schemas.openxmlformats.org/officeDocument/2006/relationships/image" Target="/xl/media/image21.png" Id="rId2" /><Relationship Type="http://schemas.openxmlformats.org/officeDocument/2006/relationships/image" Target="/xl/media/image22.png" Id="rId3" /><Relationship Type="http://schemas.openxmlformats.org/officeDocument/2006/relationships/image" Target="/xl/media/image23.png" Id="rId4" /><Relationship Type="http://schemas.openxmlformats.org/officeDocument/2006/relationships/image" Target="/xl/media/image24.png" Id="rId5" /><Relationship Type="http://schemas.openxmlformats.org/officeDocument/2006/relationships/image" Target="/xl/media/image25.png" Id="rId6" /><Relationship Type="http://schemas.openxmlformats.org/officeDocument/2006/relationships/image" Target="/xl/media/image26.png" Id="rId7" /><Relationship Type="http://schemas.openxmlformats.org/officeDocument/2006/relationships/image" Target="/xl/media/image27.png" Id="rId8" /><Relationship Type="http://schemas.openxmlformats.org/officeDocument/2006/relationships/image" Target="/xl/media/image28.png" Id="rId9" /></Relationships>
</file>

<file path=xl/drawings/_rels/drawing6.xml.rels><Relationships xmlns="http://schemas.openxmlformats.org/package/2006/relationships"><Relationship Type="http://schemas.openxmlformats.org/officeDocument/2006/relationships/image" Target="/xl/media/image29.png" Id="rId1" /><Relationship Type="http://schemas.openxmlformats.org/officeDocument/2006/relationships/image" Target="/xl/media/image30.png" Id="rId2" /></Relationships>
</file>

<file path=xl/drawings/_rels/drawing7.xml.rels><Relationships xmlns="http://schemas.openxmlformats.org/package/2006/relationships"><Relationship Type="http://schemas.openxmlformats.org/officeDocument/2006/relationships/image" Target="/xl/media/image31.png" Id="rId1" /><Relationship Type="http://schemas.openxmlformats.org/officeDocument/2006/relationships/image" Target="/xl/media/image32.png" Id="rId2" /><Relationship Type="http://schemas.openxmlformats.org/officeDocument/2006/relationships/image" Target="/xl/media/image33.png" Id="rId3" /><Relationship Type="http://schemas.openxmlformats.org/officeDocument/2006/relationships/image" Target="/xl/media/image34.png" Id="rId4" /><Relationship Type="http://schemas.openxmlformats.org/officeDocument/2006/relationships/image" Target="/xl/media/image35.png" Id="rId5" /><Relationship Type="http://schemas.openxmlformats.org/officeDocument/2006/relationships/image" Target="/xl/media/image36.png" Id="rId6" /><Relationship Type="http://schemas.openxmlformats.org/officeDocument/2006/relationships/image" Target="/xl/media/image37.png" Id="rId7" /><Relationship Type="http://schemas.openxmlformats.org/officeDocument/2006/relationships/image" Target="/xl/media/image38.png" Id="rId8" /><Relationship Type="http://schemas.openxmlformats.org/officeDocument/2006/relationships/image" Target="/xl/media/image39.png" Id="rId9" /><Relationship Type="http://schemas.openxmlformats.org/officeDocument/2006/relationships/image" Target="/xl/media/image40.png" Id="rId10" /></Relationships>
</file>

<file path=xl/drawings/_rels/drawing8.xml.rels><Relationships xmlns="http://schemas.openxmlformats.org/package/2006/relationships"><Relationship Type="http://schemas.openxmlformats.org/officeDocument/2006/relationships/image" Target="/xl/media/image41.png" Id="rId1" /><Relationship Type="http://schemas.openxmlformats.org/officeDocument/2006/relationships/image" Target="/xl/media/image42.png" Id="rId2" /><Relationship Type="http://schemas.openxmlformats.org/officeDocument/2006/relationships/image" Target="/xl/media/image43.png" Id="rId3" /><Relationship Type="http://schemas.openxmlformats.org/officeDocument/2006/relationships/image" Target="/xl/media/image44.png" Id="rId4" /><Relationship Type="http://schemas.openxmlformats.org/officeDocument/2006/relationships/image" Target="/xl/media/image45.png" Id="rId5" /><Relationship Type="http://schemas.openxmlformats.org/officeDocument/2006/relationships/image" Target="/xl/media/image46.png" Id="rId6" /><Relationship Type="http://schemas.openxmlformats.org/officeDocument/2006/relationships/image" Target="/xl/media/image47.png" Id="rId7" /><Relationship Type="http://schemas.openxmlformats.org/officeDocument/2006/relationships/image" Target="/xl/media/image48.png" Id="rId8" /><Relationship Type="http://schemas.openxmlformats.org/officeDocument/2006/relationships/image" Target="/xl/media/image49.png" Id="rId9" /><Relationship Type="http://schemas.openxmlformats.org/officeDocument/2006/relationships/image" Target="/xl/media/image50.png" Id="rId10" /><Relationship Type="http://schemas.openxmlformats.org/officeDocument/2006/relationships/image" Target="/xl/media/image51.png" Id="rId11" /><Relationship Type="http://schemas.openxmlformats.org/officeDocument/2006/relationships/image" Target="/xl/media/image52.png" Id="rId12" /><Relationship Type="http://schemas.openxmlformats.org/officeDocument/2006/relationships/image" Target="/xl/media/image53.png" Id="rId13" /><Relationship Type="http://schemas.openxmlformats.org/officeDocument/2006/relationships/image" Target="/xl/media/image54.png" Id="rId14" /><Relationship Type="http://schemas.openxmlformats.org/officeDocument/2006/relationships/image" Target="/xl/media/image55.png" Id="rId15" /><Relationship Type="http://schemas.openxmlformats.org/officeDocument/2006/relationships/image" Target="/xl/media/image56.png" Id="rId16" /><Relationship Type="http://schemas.openxmlformats.org/officeDocument/2006/relationships/image" Target="/xl/media/image57.png" Id="rId17" /><Relationship Type="http://schemas.openxmlformats.org/officeDocument/2006/relationships/image" Target="/xl/media/image58.png" Id="rId18" /></Relationships>
</file>

<file path=xl/drawings/_rels/drawing9.xml.rels><Relationships xmlns="http://schemas.openxmlformats.org/package/2006/relationships"><Relationship Type="http://schemas.openxmlformats.org/officeDocument/2006/relationships/image" Target="/xl/media/image59.png" Id="rId1" /><Relationship Type="http://schemas.openxmlformats.org/officeDocument/2006/relationships/image" Target="/xl/media/image60.png" Id="rId2" /></Relationships>
</file>

<file path=xl/drawings/_rels/drawing10.xml.rels><Relationships xmlns="http://schemas.openxmlformats.org/package/2006/relationships"><Relationship Type="http://schemas.openxmlformats.org/officeDocument/2006/relationships/image" Target="/xl/media/image61.png" Id="rId1" /><Relationship Type="http://schemas.openxmlformats.org/officeDocument/2006/relationships/image" Target="/xl/media/image62.png" Id="rId2" /><Relationship Type="http://schemas.openxmlformats.org/officeDocument/2006/relationships/image" Target="/xl/media/image63.png" Id="rId3" /><Relationship Type="http://schemas.openxmlformats.org/officeDocument/2006/relationships/image" Target="/xl/media/image64.png" Id="rId4" /><Relationship Type="http://schemas.openxmlformats.org/officeDocument/2006/relationships/image" Target="/xl/media/image65.png" Id="rId5" /><Relationship Type="http://schemas.openxmlformats.org/officeDocument/2006/relationships/image" Target="/xl/media/image66.png" Id="rId6" /><Relationship Type="http://schemas.openxmlformats.org/officeDocument/2006/relationships/image" Target="/xl/media/image67.png" Id="rId7" /><Relationship Type="http://schemas.openxmlformats.org/officeDocument/2006/relationships/image" Target="/xl/media/image68.png" Id="rId8" /><Relationship Type="http://schemas.openxmlformats.org/officeDocument/2006/relationships/image" Target="/xl/media/image69.png" Id="rId9" /><Relationship Type="http://schemas.openxmlformats.org/officeDocument/2006/relationships/image" Target="/xl/media/image70.png" Id="rId10" /></Relationships>
</file>

<file path=xl/drawings/_rels/drawing11.xml.rels><Relationships xmlns="http://schemas.openxmlformats.org/package/2006/relationships"><Relationship Type="http://schemas.openxmlformats.org/officeDocument/2006/relationships/image" Target="/xl/media/image71.png" Id="rId1" /><Relationship Type="http://schemas.openxmlformats.org/officeDocument/2006/relationships/image" Target="/xl/media/image72.png" Id="rId2" /></Relationships>
</file>

<file path=xl/drawings/_rels/drawing12.xml.rels><Relationships xmlns="http://schemas.openxmlformats.org/package/2006/relationships"><Relationship Type="http://schemas.openxmlformats.org/officeDocument/2006/relationships/image" Target="/xl/media/image73.png" Id="rId1" /><Relationship Type="http://schemas.openxmlformats.org/officeDocument/2006/relationships/image" Target="/xl/media/image74.png" Id="rId2" /><Relationship Type="http://schemas.openxmlformats.org/officeDocument/2006/relationships/image" Target="/xl/media/image75.png" Id="rId3" /><Relationship Type="http://schemas.openxmlformats.org/officeDocument/2006/relationships/image" Target="/xl/media/image76.png" Id="rId4" /></Relationships>
</file>

<file path=xl/drawings/_rels/drawing13.xml.rels><Relationships xmlns="http://schemas.openxmlformats.org/package/2006/relationships"><Relationship Type="http://schemas.openxmlformats.org/officeDocument/2006/relationships/image" Target="/xl/media/image77.png" Id="rId1" /><Relationship Type="http://schemas.openxmlformats.org/officeDocument/2006/relationships/image" Target="/xl/media/image78.png" Id="rId2" /><Relationship Type="http://schemas.openxmlformats.org/officeDocument/2006/relationships/image" Target="/xl/media/image79.png" Id="rId3" /><Relationship Type="http://schemas.openxmlformats.org/officeDocument/2006/relationships/image" Target="/xl/media/image80.png" Id="rId4" /></Relationships>
</file>

<file path=xl/drawings/_rels/drawing14.xml.rels><Relationships xmlns="http://schemas.openxmlformats.org/package/2006/relationships"><Relationship Type="http://schemas.openxmlformats.org/officeDocument/2006/relationships/image" Target="/xl/media/image81.png" Id="rId1" /><Relationship Type="http://schemas.openxmlformats.org/officeDocument/2006/relationships/image" Target="/xl/media/image82.png" Id="rId2" /><Relationship Type="http://schemas.openxmlformats.org/officeDocument/2006/relationships/image" Target="/xl/media/image83.png" Id="rId3" /><Relationship Type="http://schemas.openxmlformats.org/officeDocument/2006/relationships/image" Target="/xl/media/image84.png" Id="rId4" /></Relationships>
</file>

<file path=xl/drawings/_rels/drawing15.xml.rels><Relationships xmlns="http://schemas.openxmlformats.org/package/2006/relationships"><Relationship Type="http://schemas.openxmlformats.org/officeDocument/2006/relationships/image" Target="/xl/media/image85.png" Id="rId1" /><Relationship Type="http://schemas.openxmlformats.org/officeDocument/2006/relationships/image" Target="/xl/media/image86.png" Id="rId2" /><Relationship Type="http://schemas.openxmlformats.org/officeDocument/2006/relationships/image" Target="/xl/media/image87.png" Id="rId3" /><Relationship Type="http://schemas.openxmlformats.org/officeDocument/2006/relationships/image" Target="/xl/media/image88.png" Id="rId4" /></Relationships>
</file>

<file path=xl/drawings/_rels/drawing16.xml.rels><Relationships xmlns="http://schemas.openxmlformats.org/package/2006/relationships"><Relationship Type="http://schemas.openxmlformats.org/officeDocument/2006/relationships/image" Target="/xl/media/image89.png" Id="rId1" /><Relationship Type="http://schemas.openxmlformats.org/officeDocument/2006/relationships/image" Target="/xl/media/image90.png" Id="rId2" /><Relationship Type="http://schemas.openxmlformats.org/officeDocument/2006/relationships/image" Target="/xl/media/image91.png" Id="rId3" /><Relationship Type="http://schemas.openxmlformats.org/officeDocument/2006/relationships/image" Target="/xl/media/image92.png" Id="rId4" /></Relationships>
</file>

<file path=xl/drawings/_rels/drawing17.xml.rels><Relationships xmlns="http://schemas.openxmlformats.org/package/2006/relationships"><Relationship Type="http://schemas.openxmlformats.org/officeDocument/2006/relationships/image" Target="/xl/media/image93.png" Id="rId1" /><Relationship Type="http://schemas.openxmlformats.org/officeDocument/2006/relationships/image" Target="/xl/media/image94.png" Id="rId2" /><Relationship Type="http://schemas.openxmlformats.org/officeDocument/2006/relationships/image" Target="/xl/media/image95.png" Id="rId3" /><Relationship Type="http://schemas.openxmlformats.org/officeDocument/2006/relationships/image" Target="/xl/media/image96.png" Id="rId4" /></Relationships>
</file>

<file path=xl/drawings/_rels/drawing18.xml.rels><Relationships xmlns="http://schemas.openxmlformats.org/package/2006/relationships"><Relationship Type="http://schemas.openxmlformats.org/officeDocument/2006/relationships/image" Target="/xl/media/image97.png" Id="rId1" /><Relationship Type="http://schemas.openxmlformats.org/officeDocument/2006/relationships/image" Target="/xl/media/image98.png" Id="rId2" /><Relationship Type="http://schemas.openxmlformats.org/officeDocument/2006/relationships/image" Target="/xl/media/image99.png" Id="rId3" /><Relationship Type="http://schemas.openxmlformats.org/officeDocument/2006/relationships/image" Target="/xl/media/image100.png" Id="rId4" /></Relationships>
</file>

<file path=xl/drawings/_rels/drawing19.xml.rels><Relationships xmlns="http://schemas.openxmlformats.org/package/2006/relationships"><Relationship Type="http://schemas.openxmlformats.org/officeDocument/2006/relationships/image" Target="/xl/media/image101.png" Id="rId1" /><Relationship Type="http://schemas.openxmlformats.org/officeDocument/2006/relationships/image" Target="/xl/media/image102.png" Id="rId2" /><Relationship Type="http://schemas.openxmlformats.org/officeDocument/2006/relationships/image" Target="/xl/media/image103.png" Id="rId3" /><Relationship Type="http://schemas.openxmlformats.org/officeDocument/2006/relationships/image" Target="/xl/media/image104.png" Id="rId4" /></Relationships>
</file>

<file path=xl/drawings/_rels/drawing20.xml.rels><Relationships xmlns="http://schemas.openxmlformats.org/package/2006/relationships"><Relationship Type="http://schemas.openxmlformats.org/officeDocument/2006/relationships/image" Target="/xl/media/image105.png" Id="rId1" /><Relationship Type="http://schemas.openxmlformats.org/officeDocument/2006/relationships/image" Target="/xl/media/image106.png" Id="rId2" /><Relationship Type="http://schemas.openxmlformats.org/officeDocument/2006/relationships/image" Target="/xl/media/image107.png" Id="rId3" /><Relationship Type="http://schemas.openxmlformats.org/officeDocument/2006/relationships/image" Target="/xl/media/image108.png" Id="rId4" /></Relationships>
</file>

<file path=xl/drawings/_rels/drawing21.xml.rels><Relationships xmlns="http://schemas.openxmlformats.org/package/2006/relationships"><Relationship Type="http://schemas.openxmlformats.org/officeDocument/2006/relationships/image" Target="/xl/media/image109.png" Id="rId1" /><Relationship Type="http://schemas.openxmlformats.org/officeDocument/2006/relationships/image" Target="/xl/media/image110.png" Id="rId2" /><Relationship Type="http://schemas.openxmlformats.org/officeDocument/2006/relationships/image" Target="/xl/media/image111.png" Id="rId3" /><Relationship Type="http://schemas.openxmlformats.org/officeDocument/2006/relationships/image" Target="/xl/media/image112.png" Id="rId4" /></Relationships>
</file>

<file path=xl/drawings/_rels/drawing22.xml.rels><Relationships xmlns="http://schemas.openxmlformats.org/package/2006/relationships"><Relationship Type="http://schemas.openxmlformats.org/officeDocument/2006/relationships/image" Target="/xl/media/image113.png" Id="rId1" /><Relationship Type="http://schemas.openxmlformats.org/officeDocument/2006/relationships/image" Target="/xl/media/image114.png" Id="rId2" /><Relationship Type="http://schemas.openxmlformats.org/officeDocument/2006/relationships/image" Target="/xl/media/image115.png" Id="rId3" /><Relationship Type="http://schemas.openxmlformats.org/officeDocument/2006/relationships/image" Target="/xl/media/image116.png" Id="rId4" /></Relationships>
</file>

<file path=xl/drawings/_rels/drawing23.xml.rels><Relationships xmlns="http://schemas.openxmlformats.org/package/2006/relationships"><Relationship Type="http://schemas.openxmlformats.org/officeDocument/2006/relationships/image" Target="/xl/media/image117.png" Id="rId1" /><Relationship Type="http://schemas.openxmlformats.org/officeDocument/2006/relationships/image" Target="/xl/media/image118.png" Id="rId2" /><Relationship Type="http://schemas.openxmlformats.org/officeDocument/2006/relationships/image" Target="/xl/media/image119.png" Id="rId3" /><Relationship Type="http://schemas.openxmlformats.org/officeDocument/2006/relationships/image" Target="/xl/media/image120.png" Id="rId4" /><Relationship Type="http://schemas.openxmlformats.org/officeDocument/2006/relationships/image" Target="/xl/media/image121.png" Id="rId5" /><Relationship Type="http://schemas.openxmlformats.org/officeDocument/2006/relationships/image" Target="/xl/media/image122.png" Id="rId6" /></Relationships>
</file>

<file path=xl/drawings/_rels/drawing24.xml.rels><Relationships xmlns="http://schemas.openxmlformats.org/package/2006/relationships"><Relationship Type="http://schemas.openxmlformats.org/officeDocument/2006/relationships/image" Target="/xl/media/image123.png" Id="rId1" /><Relationship Type="http://schemas.openxmlformats.org/officeDocument/2006/relationships/image" Target="/xl/media/image124.png" Id="rId2" /><Relationship Type="http://schemas.openxmlformats.org/officeDocument/2006/relationships/image" Target="/xl/media/image125.png" Id="rId3" /><Relationship Type="http://schemas.openxmlformats.org/officeDocument/2006/relationships/image" Target="/xl/media/image126.png" Id="rId4" /></Relationships>
</file>

<file path=xl/drawings/_rels/drawing25.xml.rels><Relationships xmlns="http://schemas.openxmlformats.org/package/2006/relationships"><Relationship Type="http://schemas.openxmlformats.org/officeDocument/2006/relationships/image" Target="/xl/media/image127.png" Id="rId1" /><Relationship Type="http://schemas.openxmlformats.org/officeDocument/2006/relationships/image" Target="/xl/media/image128.png" Id="rId2" /></Relationships>
</file>

<file path=xl/drawings/_rels/drawing26.xml.rels><Relationships xmlns="http://schemas.openxmlformats.org/package/2006/relationships"><Relationship Type="http://schemas.openxmlformats.org/officeDocument/2006/relationships/image" Target="/xl/media/image129.png" Id="rId1" /><Relationship Type="http://schemas.openxmlformats.org/officeDocument/2006/relationships/image" Target="/xl/media/image130.png" Id="rId2" /><Relationship Type="http://schemas.openxmlformats.org/officeDocument/2006/relationships/image" Target="/xl/media/image131.png" Id="rId3" /><Relationship Type="http://schemas.openxmlformats.org/officeDocument/2006/relationships/image" Target="/xl/media/image132.png" Id="rId4" /></Relationships>
</file>

<file path=xl/drawings/_rels/drawing27.xml.rels><Relationships xmlns="http://schemas.openxmlformats.org/package/2006/relationships"><Relationship Type="http://schemas.openxmlformats.org/officeDocument/2006/relationships/image" Target="/xl/media/image133.png" Id="rId1" /><Relationship Type="http://schemas.openxmlformats.org/officeDocument/2006/relationships/image" Target="/xl/media/image134.png" Id="rId2" /><Relationship Type="http://schemas.openxmlformats.org/officeDocument/2006/relationships/image" Target="/xl/media/image135.png" Id="rId3" /><Relationship Type="http://schemas.openxmlformats.org/officeDocument/2006/relationships/image" Target="/xl/media/image136.png" Id="rId4" /></Relationships>
</file>

<file path=xl/drawings/_rels/drawing28.xml.rels><Relationships xmlns="http://schemas.openxmlformats.org/package/2006/relationships"><Relationship Type="http://schemas.openxmlformats.org/officeDocument/2006/relationships/image" Target="/xl/media/image137.png" Id="rId1" /><Relationship Type="http://schemas.openxmlformats.org/officeDocument/2006/relationships/image" Target="/xl/media/image138.png" Id="rId2" /></Relationships>
</file>

<file path=xl/drawings/drawing1.xml><?xml version="1.0" encoding="utf-8"?>
<wsDr xmlns:a="http://schemas.openxmlformats.org/drawingml/2006/main" xmlns:r="http://schemas.openxmlformats.org/officeDocument/2006/relationships" xmlns="http://schemas.openxmlformats.org/drawingml/2006/spreadsheetDrawing">
  <twoCellAnchor>
    <from>
      <col>2</col>
      <colOff>2546350</colOff>
      <row>10</row>
      <rowOff>184150</rowOff>
    </from>
    <to>
      <col>2</col>
      <colOff>2832100</colOff>
      <row>11</row>
      <rowOff>146050</rowOff>
    </to>
    <pic>
      <nvPicPr>
        <cNvPr id="665386" name="Picture 1"/>
        <cNvPicPr>
          <a:picLocks noChangeAspect="1" noChangeArrowheads="1"/>
        </cNvPicPr>
      </nvPicPr>
      <blipFill>
        <a:blip r:embed="rId1"/>
        <a:srcRect/>
        <a:stretch>
          <a:fillRect/>
        </a:stretch>
      </blipFill>
      <spPr bwMode="auto">
        <a:xfrm>
          <a:off x="4248150" y="2178050"/>
          <a:ext cx="285750" cy="158750"/>
        </a:xfrm>
        <a:prstGeom prst="rect">
          <avLst/>
        </a:prstGeom>
        <a:noFill/>
        <a:ln>
          <a:noFill/>
          <a:prstDash val="solid"/>
        </a:ln>
      </spPr>
    </pic>
    <clientData/>
  </twoCellAnchor>
  <twoCellAnchor>
    <from>
      <col>2</col>
      <colOff>2546350</colOff>
      <row>10</row>
      <rowOff>184150</rowOff>
    </from>
    <to>
      <col>2</col>
      <colOff>2832100</colOff>
      <row>12</row>
      <rowOff>0</rowOff>
    </to>
    <pic>
      <nvPicPr>
        <cNvPr id="665387" name="Picture 1"/>
        <cNvPicPr>
          <a:picLocks noChangeAspect="1" noChangeArrowheads="1"/>
        </cNvPicPr>
      </nvPicPr>
      <blipFill>
        <a:blip r:embed="rId2"/>
        <a:srcRect/>
        <a:stretch>
          <a:fillRect/>
        </a:stretch>
      </blipFill>
      <spPr bwMode="auto">
        <a:xfrm>
          <a:off x="4248150" y="2178050"/>
          <a:ext cx="285750" cy="222250"/>
        </a:xfrm>
        <a:prstGeom prst="rect">
          <avLst/>
        </a:prstGeom>
        <a:noFill/>
        <a:ln>
          <a:noFill/>
          <a:prstDash val="solid"/>
        </a:ln>
      </spPr>
    </pic>
    <clientData/>
  </twoCellAnchor>
</wsDr>
</file>

<file path=xl/drawings/drawing2.xml><?xml version="1.0" encoding="utf-8"?>
<wsDr xmlns:a="http://schemas.openxmlformats.org/drawingml/2006/main" xmlns:r="http://schemas.openxmlformats.org/officeDocument/2006/relationships" xmlns="http://schemas.openxmlformats.org/drawingml/2006/spreadsheetDrawing">
  <twoCellAnchor>
    <from>
      <col>3</col>
      <colOff>2527300</colOff>
      <row>11</row>
      <rowOff>6350</rowOff>
    </from>
    <to>
      <col>3</col>
      <colOff>2800350</colOff>
      <row>12</row>
      <rowOff>6350</rowOff>
    </to>
    <pic>
      <nvPicPr>
        <cNvPr id="609104" name="Picture 1"/>
        <cNvPicPr>
          <a:picLocks noChangeAspect="1" noChangeArrowheads="1"/>
        </cNvPicPr>
      </nvPicPr>
      <blipFill>
        <a:blip r:embed="rId1"/>
        <a:srcRect/>
        <a:stretch>
          <a:fillRect/>
        </a:stretch>
      </blipFill>
      <spPr bwMode="auto">
        <a:xfrm>
          <a:off x="5511800" y="1949450"/>
          <a:ext cx="273050" cy="196850"/>
        </a:xfrm>
        <a:prstGeom prst="rect">
          <avLst/>
        </a:prstGeom>
        <a:noFill/>
        <a:ln>
          <a:noFill/>
          <a:prstDash val="solid"/>
        </a:ln>
      </spPr>
    </pic>
    <clientData/>
  </twoCellAnchor>
</wsDr>
</file>

<file path=xl/drawings/drawing3.xml><?xml version="1.0" encoding="utf-8"?>
<wsDr xmlns:a="http://schemas.openxmlformats.org/drawingml/2006/main" xmlns:r="http://schemas.openxmlformats.org/officeDocument/2006/relationships" xmlns="http://schemas.openxmlformats.org/drawingml/2006/spreadsheetDrawing">
  <twoCellAnchor editAs="oneCell">
    <from>
      <col>0</col>
      <colOff>0</colOff>
      <row>0</row>
      <rowOff>12700</rowOff>
    </from>
    <to>
      <col>1</col>
      <colOff>0</colOff>
      <row>1</row>
      <rowOff>6350</rowOff>
    </to>
    <pic>
      <nvPicPr>
        <cNvPr id="718964" name="Picture 3" descr="title.png"/>
        <cNvPicPr>
          <a:picLocks noChangeAspect="1"/>
        </cNvPicPr>
      </nvPicPr>
      <blipFill>
        <a:blip r:embed="rId1"/>
        <a:srcRect/>
        <a:stretch>
          <a:fillRect/>
        </a:stretch>
      </blipFill>
      <spPr bwMode="auto">
        <a:xfrm>
          <a:off x="0" y="12700"/>
          <a:ext cx="3092450" cy="603250"/>
        </a:xfrm>
        <a:prstGeom prst="rect">
          <avLst/>
        </a:prstGeom>
        <a:noFill/>
        <a:ln>
          <a:noFill/>
          <a:prstDash val="solid"/>
        </a:ln>
      </spPr>
    </pic>
    <clientData/>
  </twoCellAnchor>
  <twoCellAnchor editAs="oneCell">
    <from>
      <col>1</col>
      <colOff>69850</colOff>
      <row>75</row>
      <rowOff>152400</rowOff>
    </from>
    <to>
      <col>1</col>
      <colOff>1028700</colOff>
      <row>76</row>
      <rowOff>298450</rowOff>
    </to>
    <pic macro="[0]!findNext_sheet">
      <nvPicPr>
        <cNvPr id="718965" name="Picture 3" descr="next1.png"/>
        <cNvPicPr>
          <a:picLocks/>
        </cNvPicPr>
      </nvPicPr>
      <blipFill>
        <a:blip r:embed="rId2"/>
        <a:srcRect/>
        <a:stretch>
          <a:fillRect/>
        </a:stretch>
      </blipFill>
      <spPr bwMode="auto">
        <a:xfrm>
          <a:off x="3162300" y="21729700"/>
          <a:ext cx="958850" cy="342900"/>
        </a:xfrm>
        <a:prstGeom prst="rect">
          <avLst/>
        </a:prstGeom>
        <a:noFill/>
        <a:ln>
          <a:noFill/>
          <a:prstDash val="solid"/>
        </a:ln>
      </spPr>
    </pic>
    <clientData/>
  </twoCellAnchor>
  <twoCellAnchor editAs="oneCell">
    <from>
      <col>3</col>
      <colOff>82550</colOff>
      <row>38</row>
      <rowOff>146050</rowOff>
    </from>
    <to>
      <col>3</col>
      <colOff>82550</colOff>
      <row>40</row>
      <rowOff>50800</rowOff>
    </to>
    <pic macro="[0]!sheet37.addRow_RentPaid_RentListS">
      <nvPicPr>
        <cNvPr id="718966" name="Picture 1" descr="ADD Rows1.png"/>
        <cNvPicPr>
          <a:picLocks/>
        </cNvPicPr>
      </nvPicPr>
      <blipFill>
        <a:blip r:embed="rId3"/>
        <a:srcRect/>
        <a:stretch>
          <a:fillRect/>
        </a:stretch>
      </blipFill>
      <spPr bwMode="auto">
        <a:xfrm>
          <a:off x="7048500" y="10572750"/>
          <a:ext cx="0" cy="336550"/>
        </a:xfrm>
        <a:prstGeom prst="rect">
          <avLst/>
        </a:prstGeom>
        <a:noFill/>
        <a:ln>
          <a:noFill/>
          <a:prstDash val="solid"/>
        </a:ln>
      </spPr>
    </pic>
    <clientData/>
  </twoCellAnchor>
  <twoCellAnchor editAs="oneCell">
    <from>
      <col>3</col>
      <colOff>69850</colOff>
      <row>47</row>
      <rowOff>76200</rowOff>
    </from>
    <to>
      <col>3</col>
      <colOff>69850</colOff>
      <row>47</row>
      <rowOff>419100</rowOff>
    </to>
    <pic macro="[0]!Sheet37.addRow_RentPaid_RentListW">
      <nvPicPr>
        <cNvPr id="718967" name="Picture 5" descr="ADD1.png"/>
        <cNvPicPr>
          <a:picLocks/>
        </cNvPicPr>
      </nvPicPr>
      <blipFill>
        <a:blip r:embed="rId4"/>
        <a:srcRect/>
        <a:stretch>
          <a:fillRect/>
        </a:stretch>
      </blipFill>
      <spPr bwMode="auto">
        <a:xfrm>
          <a:off x="7035800" y="12903200"/>
          <a:ext cx="0" cy="342900"/>
        </a:xfrm>
        <a:prstGeom prst="rect">
          <avLst/>
        </a:prstGeom>
        <a:noFill/>
        <a:ln>
          <a:noFill/>
          <a:prstDash val="solid"/>
        </a:ln>
      </spPr>
    </pic>
    <clientData/>
  </twoCellAnchor>
  <twoCellAnchor editAs="oneCell">
    <from>
      <col>2</col>
      <colOff>527050</colOff>
      <row>38</row>
      <rowOff>171450</rowOff>
    </from>
    <to>
      <col>2</col>
      <colOff>1485900</colOff>
      <row>40</row>
      <rowOff>76200</rowOff>
    </to>
    <pic macro="[0]!Sheet14.addRow_RentPaid_RentListS">
      <nvPicPr>
        <cNvPr id="718968" name="Picture 1" descr="ADD Rows1.png"/>
        <cNvPicPr>
          <a:picLocks/>
        </cNvPicPr>
      </nvPicPr>
      <blipFill>
        <a:blip r:embed="rId5"/>
        <a:srcRect/>
        <a:stretch>
          <a:fillRect/>
        </a:stretch>
      </blipFill>
      <spPr bwMode="auto">
        <a:xfrm>
          <a:off x="5556250" y="10598150"/>
          <a:ext cx="958850" cy="336550"/>
        </a:xfrm>
        <a:prstGeom prst="rect">
          <avLst/>
        </a:prstGeom>
        <a:noFill/>
        <a:ln>
          <a:noFill/>
          <a:prstDash val="solid"/>
        </a:ln>
      </spPr>
    </pic>
    <clientData/>
  </twoCellAnchor>
  <twoCellAnchor editAs="oneCell">
    <from>
      <col>2</col>
      <colOff>558800</colOff>
      <row>47</row>
      <rowOff>69850</rowOff>
    </from>
    <to>
      <col>2</col>
      <colOff>1517650</colOff>
      <row>47</row>
      <rowOff>412750</rowOff>
    </to>
    <pic macro="[0]!Sheet14.addRow_RentPaid_RentListW">
      <nvPicPr>
        <cNvPr id="718969" name="Picture 5" descr="ADD1.png"/>
        <cNvPicPr>
          <a:picLocks/>
        </cNvPicPr>
      </nvPicPr>
      <blipFill>
        <a:blip r:embed="rId6"/>
        <a:srcRect/>
        <a:stretch>
          <a:fillRect/>
        </a:stretch>
      </blipFill>
      <spPr bwMode="auto">
        <a:xfrm>
          <a:off x="5588000" y="12896850"/>
          <a:ext cx="958850" cy="342900"/>
        </a:xfrm>
        <a:prstGeom prst="rect">
          <avLst/>
        </a:prstGeom>
        <a:noFill/>
        <a:ln>
          <a:noFill/>
          <a:prstDash val="solid"/>
        </a:ln>
      </spPr>
    </pic>
    <clientData/>
  </twoCellAnchor>
  <twoCellAnchor editAs="oneCell">
    <from>
      <col>2</col>
      <colOff>546100</colOff>
      <row>63</row>
      <rowOff>127000</rowOff>
    </from>
    <to>
      <col>2</col>
      <colOff>1504950</colOff>
      <row>63</row>
      <rowOff>469900</rowOff>
    </to>
    <pic macro="[0]!Sheet14.addRow_RentalIncome_ListW">
      <nvPicPr>
        <cNvPr id="718970" name="Picture 5" descr="ADD1.png"/>
        <cNvPicPr>
          <a:picLocks/>
        </cNvPicPr>
      </nvPicPr>
      <blipFill>
        <a:blip r:embed="rId7"/>
        <a:srcRect/>
        <a:stretch>
          <a:fillRect/>
        </a:stretch>
      </blipFill>
      <spPr bwMode="auto">
        <a:xfrm>
          <a:off x="5575300" y="17818100"/>
          <a:ext cx="958850" cy="342900"/>
        </a:xfrm>
        <a:prstGeom prst="rect">
          <avLst/>
        </a:prstGeom>
        <a:noFill/>
        <a:ln>
          <a:noFill/>
          <a:prstDash val="solid"/>
        </a:ln>
      </spPr>
    </pic>
    <clientData/>
  </twoCellAnchor>
  <twoCellAnchor editAs="oneCell">
    <from>
      <col>2</col>
      <colOff>539750</colOff>
      <row>54</row>
      <rowOff>69850</rowOff>
    </from>
    <to>
      <col>2</col>
      <colOff>1498600</colOff>
      <row>54</row>
      <rowOff>412750</rowOff>
    </to>
    <pic macro="[0]!Sheet14.addRow_RentalIncome_ListS">
      <nvPicPr>
        <cNvPr id="718971" name="Picture 5" descr="ADD1.png"/>
        <cNvPicPr>
          <a:picLocks/>
        </cNvPicPr>
      </nvPicPr>
      <blipFill>
        <a:blip r:embed="rId8"/>
        <a:srcRect/>
        <a:stretch>
          <a:fillRect/>
        </a:stretch>
      </blipFill>
      <spPr bwMode="auto">
        <a:xfrm>
          <a:off x="5568950" y="15138400"/>
          <a:ext cx="958850" cy="342900"/>
        </a:xfrm>
        <a:prstGeom prst="rect">
          <avLst/>
        </a:prstGeom>
        <a:noFill/>
        <a:ln>
          <a:noFill/>
          <a:prstDash val="solid"/>
        </a:ln>
      </spPr>
    </pic>
    <clientData/>
  </twoCellAnchor>
  <twoCellAnchor editAs="oneCell">
    <from>
      <col>0</col>
      <colOff>2584450</colOff>
      <row>69</row>
      <rowOff>146050</rowOff>
    </from>
    <to>
      <col>1</col>
      <colOff>450850</colOff>
      <row>70</row>
      <rowOff>6350</rowOff>
    </to>
    <pic macro="[0]!Sheet14.addRow_ExemptCerti_ListS">
      <nvPicPr>
        <cNvPr id="718972" name="Picture 5" descr="ADD1.png"/>
        <cNvPicPr>
          <a:picLocks/>
        </cNvPicPr>
      </nvPicPr>
      <blipFill>
        <a:blip r:embed="rId9"/>
        <a:srcRect/>
        <a:stretch>
          <a:fillRect/>
        </a:stretch>
      </blipFill>
      <spPr bwMode="auto">
        <a:xfrm>
          <a:off x="2584450" y="19780250"/>
          <a:ext cx="958850" cy="336550"/>
        </a:xfrm>
        <a:prstGeom prst="rect">
          <avLst/>
        </a:prstGeom>
        <a:noFill/>
        <a:ln>
          <a:noFill/>
          <a:prstDash val="solid"/>
        </a:ln>
      </spPr>
    </pic>
    <clientData/>
  </twoCellAnchor>
  <twoCellAnchor editAs="oneCell">
    <from>
      <col>0</col>
      <colOff>2095500</colOff>
      <row>75</row>
      <rowOff>152400</rowOff>
    </from>
    <to>
      <col>0</col>
      <colOff>3054350</colOff>
      <row>76</row>
      <rowOff>298450</rowOff>
    </to>
    <pic macro="[0]!Sheet14.addRow_ExemptCerti_ListW">
      <nvPicPr>
        <cNvPr id="718973" name="Picture 5" descr="ADD1.png"/>
        <cNvPicPr>
          <a:picLocks/>
        </cNvPicPr>
      </nvPicPr>
      <blipFill>
        <a:blip r:embed="rId10"/>
        <a:srcRect/>
        <a:stretch>
          <a:fillRect/>
        </a:stretch>
      </blipFill>
      <spPr bwMode="auto">
        <a:xfrm>
          <a:off x="2095500" y="21729700"/>
          <a:ext cx="958850" cy="342900"/>
        </a:xfrm>
        <a:prstGeom prst="rect">
          <avLst/>
        </a:prstGeom>
        <a:noFill/>
        <a:ln>
          <a:noFill/>
          <a:prstDash val="solid"/>
        </a:ln>
      </spPr>
    </pic>
    <clientData/>
  </twoCellAnchor>
</wsDr>
</file>

<file path=xl/drawings/drawing4.xml><?xml version="1.0" encoding="utf-8"?>
<wsDr xmlns:a="http://schemas.openxmlformats.org/drawingml/2006/main" xmlns:r="http://schemas.openxmlformats.org/officeDocument/2006/relationships" xmlns="http://schemas.openxmlformats.org/drawingml/2006/spreadsheetDrawing">
  <twoCellAnchor editAs="oneCell">
    <from>
      <col>1</col>
      <colOff>3587750</colOff>
      <row>119</row>
      <rowOff>69850</rowOff>
    </from>
    <to>
      <col>1</col>
      <colOff>4533900</colOff>
      <row>119</row>
      <rowOff>412750</rowOff>
    </to>
    <pic macro="[0]!Sheet6.addRow_Oth_Exp_List">
      <nvPicPr>
        <cNvPr id="716903" name="Picture 1" descr="ADD Rows1.png"/>
        <cNvPicPr>
          <a:picLocks/>
        </cNvPicPr>
      </nvPicPr>
      <blipFill>
        <a:blip r:embed="rId1"/>
        <a:srcRect/>
        <a:stretch>
          <a:fillRect/>
        </a:stretch>
      </blipFill>
      <spPr bwMode="auto">
        <a:xfrm>
          <a:off x="4235450" y="24174450"/>
          <a:ext cx="946150" cy="342900"/>
        </a:xfrm>
        <a:prstGeom prst="rect">
          <avLst/>
        </a:prstGeom>
        <a:noFill/>
        <a:ln>
          <a:noFill/>
          <a:prstDash val="solid"/>
        </a:ln>
      </spPr>
    </pic>
    <clientData/>
  </twoCellAnchor>
  <twoCellAnchor editAs="oneCell">
    <from>
      <col>1</col>
      <colOff>3486150</colOff>
      <row>128</row>
      <rowOff>95250</rowOff>
    </from>
    <to>
      <col>1</col>
      <colOff>4432300</colOff>
      <row>128</row>
      <rowOff>457200</rowOff>
    </to>
    <pic macro="[0]!Sheet6.addRow_Oth_Income_List">
      <nvPicPr>
        <cNvPr id="716904" name="Picture 1" descr="ADD Rows1.png"/>
        <cNvPicPr>
          <a:picLocks/>
        </cNvPicPr>
      </nvPicPr>
      <blipFill>
        <a:blip r:embed="rId2"/>
        <a:srcRect/>
        <a:stretch>
          <a:fillRect/>
        </a:stretch>
      </blipFill>
      <spPr bwMode="auto">
        <a:xfrm>
          <a:off x="4133850" y="26676350"/>
          <a:ext cx="946150" cy="361950"/>
        </a:xfrm>
        <a:prstGeom prst="rect">
          <avLst/>
        </a:prstGeom>
        <a:noFill/>
        <a:ln>
          <a:noFill/>
          <a:prstDash val="solid"/>
        </a:ln>
      </spPr>
    </pic>
    <clientData/>
  </twoCellAnchor>
  <twoCellAnchor editAs="oneCell">
    <from>
      <col>1</col>
      <colOff>4603750</colOff>
      <row>129</row>
      <rowOff>69850</rowOff>
    </from>
    <to>
      <col>1</col>
      <colOff>5549900</colOff>
      <row>129</row>
      <rowOff>419100</rowOff>
    </to>
    <pic macro="[0]!findNext_sheet">
      <nvPicPr>
        <cNvPr id="716905" name="Picture 1" descr="next1.png"/>
        <cNvPicPr>
          <a:picLocks/>
        </cNvPicPr>
      </nvPicPr>
      <blipFill>
        <a:blip r:embed="rId3"/>
        <a:srcRect/>
        <a:stretch>
          <a:fillRect/>
        </a:stretch>
      </blipFill>
      <spPr bwMode="auto">
        <a:xfrm>
          <a:off x="5251450" y="27127200"/>
          <a:ext cx="946150" cy="349250"/>
        </a:xfrm>
        <a:prstGeom prst="rect">
          <avLst/>
        </a:prstGeom>
        <a:noFill/>
        <a:ln>
          <a:noFill/>
          <a:prstDash val="solid"/>
        </a:ln>
      </spPr>
    </pic>
    <clientData/>
  </twoCellAnchor>
  <twoCellAnchor editAs="oneCell">
    <from>
      <col>1</col>
      <colOff>3486150</colOff>
      <row>129</row>
      <rowOff>69850</rowOff>
    </from>
    <to>
      <col>1</col>
      <colOff>4432300</colOff>
      <row>129</row>
      <rowOff>419100</rowOff>
    </to>
    <pic macro="[0]!findPrev_sheet">
      <nvPicPr>
        <cNvPr id="716906" name="Picture 2" descr="Prev1.png"/>
        <cNvPicPr>
          <a:picLocks/>
        </cNvPicPr>
      </nvPicPr>
      <blipFill>
        <a:blip r:embed="rId4"/>
        <a:srcRect/>
        <a:stretch>
          <a:fillRect/>
        </a:stretch>
      </blipFill>
      <spPr bwMode="auto">
        <a:xfrm>
          <a:off x="4133850" y="27127200"/>
          <a:ext cx="946150" cy="349250"/>
        </a:xfrm>
        <a:prstGeom prst="rect">
          <avLst/>
        </a:prstGeom>
        <a:noFill/>
        <a:ln>
          <a:noFill/>
          <a:prstDash val="solid"/>
        </a:ln>
      </spPr>
    </pic>
    <clientData/>
  </twoCellAnchor>
  <twoCellAnchor>
    <from>
      <col>1</col>
      <colOff>4613910</colOff>
      <row>119</row>
      <rowOff>66675</rowOff>
    </from>
    <to>
      <col>1</col>
      <colOff>5566481</colOff>
      <row>119</row>
      <rowOff>435807</rowOff>
    </to>
    <pic macro="[0]!Module3.importCSV_B_Profit_Loss_Account_Self_Part1">
      <nvPicPr>
        <cNvPr id="6" name="Picture 12"/>
        <cNvPicPr>
          <a:picLocks noChangeAspect="1"/>
        </cNvPicPr>
      </nvPicPr>
      <blipFill>
        <a:blip r:embed="rId5"/>
        <a:srcRect/>
        <a:stretch>
          <a:fillRect/>
        </a:stretch>
      </blipFill>
      <spPr bwMode="auto">
        <a:xfrm>
          <a:off x="5038725" y="25974675"/>
          <a:ext cx="876300" cy="342900"/>
        </a:xfrm>
        <a:prstGeom prst="rect">
          <avLst/>
        </a:prstGeom>
        <a:noFill/>
        <a:ln w="9525" cap="sq">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prstDash val="solid"/>
          <a:miter lim="800000"/>
          <a:headEnd/>
          <a:tailEnd/>
        </a:ln>
      </spPr>
    </pic>
    <clientData/>
  </twoCellAnchor>
  <twoCellAnchor>
    <from>
      <col>1</col>
      <colOff>4613910</colOff>
      <row>128</row>
      <rowOff>92710</rowOff>
    </from>
    <to>
      <col>1</col>
      <colOff>5597499</colOff>
      <row>128</row>
      <rowOff>463324</rowOff>
    </to>
    <pic macro="[0]!Module3.importCSV_B_Profit_Loss_Account_Self_Part2">
      <nvPicPr>
        <cNvPr id="7" name="Picture 12"/>
        <cNvPicPr>
          <a:picLocks noChangeAspect="1"/>
        </cNvPicPr>
      </nvPicPr>
      <blipFill>
        <a:blip r:embed="rId6"/>
        <a:srcRect/>
        <a:stretch>
          <a:fillRect/>
        </a:stretch>
      </blipFill>
      <spPr bwMode="auto">
        <a:xfrm>
          <a:off x="5038725" y="28498800"/>
          <a:ext cx="876300" cy="342900"/>
        </a:xfrm>
        <a:prstGeom prst="rect">
          <avLst/>
        </a:prstGeom>
        <a:noFill/>
        <a:ln w="9525" cap="sq">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prstDash val="solid"/>
          <a:miter lim="800000"/>
          <a:headEnd/>
          <a:tailEnd/>
        </a:ln>
      </spPr>
    </pic>
    <clientData/>
  </twoCellAnchor>
</wsDr>
</file>

<file path=xl/drawings/drawing5.xml><?xml version="1.0" encoding="utf-8"?>
<wsDr xmlns:a="http://schemas.openxmlformats.org/drawingml/2006/main" xmlns:r="http://schemas.openxmlformats.org/officeDocument/2006/relationships" xmlns="http://schemas.openxmlformats.org/drawingml/2006/spreadsheetDrawing">
  <twoCellAnchor editAs="oneCell">
    <from>
      <col>1</col>
      <colOff>4978400</colOff>
      <row>119</row>
      <rowOff>82550</rowOff>
    </from>
    <to>
      <col>1</col>
      <colOff>4978400</colOff>
      <row>119</row>
      <rowOff>425450</rowOff>
    </to>
    <pic macro="[0]!Sheet6.addRow_Oth_Exp_List">
      <nvPicPr>
        <cNvPr id="710441" name="Picture 1" descr="ADD Rows1.png"/>
        <cNvPicPr>
          <a:picLocks/>
        </cNvPicPr>
      </nvPicPr>
      <blipFill>
        <a:blip r:embed="rId1"/>
        <a:srcRect/>
        <a:stretch>
          <a:fillRect/>
        </a:stretch>
      </blipFill>
      <spPr bwMode="auto">
        <a:xfrm>
          <a:off x="5626100" y="24326850"/>
          <a:ext cx="0" cy="342900"/>
        </a:xfrm>
        <a:prstGeom prst="rect">
          <avLst/>
        </a:prstGeom>
        <a:noFill/>
        <a:ln>
          <a:noFill/>
          <a:prstDash val="solid"/>
        </a:ln>
      </spPr>
    </pic>
    <clientData/>
  </twoCellAnchor>
  <twoCellAnchor editAs="oneCell">
    <from>
      <col>1</col>
      <colOff>5505450</colOff>
      <row>129</row>
      <rowOff>57150</rowOff>
    </from>
    <to>
      <col>1</col>
      <colOff>5505450</colOff>
      <row>129</row>
      <rowOff>400050</rowOff>
    </to>
    <pic macro="[0]!findNext_sheet">
      <nvPicPr>
        <cNvPr id="710442" name="Picture 1" descr="next1.png"/>
        <cNvPicPr>
          <a:picLocks/>
        </cNvPicPr>
      </nvPicPr>
      <blipFill>
        <a:blip r:embed="rId2"/>
        <a:srcRect/>
        <a:stretch>
          <a:fillRect/>
        </a:stretch>
      </blipFill>
      <spPr bwMode="auto">
        <a:xfrm>
          <a:off x="6153150" y="27254200"/>
          <a:ext cx="0" cy="342900"/>
        </a:xfrm>
        <a:prstGeom prst="rect">
          <avLst/>
        </a:prstGeom>
        <a:noFill/>
        <a:ln>
          <a:noFill/>
          <a:prstDash val="solid"/>
        </a:ln>
      </spPr>
    </pic>
    <clientData/>
  </twoCellAnchor>
  <twoCellAnchor editAs="oneCell">
    <from>
      <col>1</col>
      <colOff>4470400</colOff>
      <row>129</row>
      <rowOff>57150</rowOff>
    </from>
    <to>
      <col>1</col>
      <colOff>4470400</colOff>
      <row>129</row>
      <rowOff>400050</rowOff>
    </to>
    <pic macro="[0]!findPrev_sheet">
      <nvPicPr>
        <cNvPr id="710443" name="Picture 2" descr="Prev1.png"/>
        <cNvPicPr>
          <a:picLocks/>
        </cNvPicPr>
      </nvPicPr>
      <blipFill>
        <a:blip r:embed="rId3"/>
        <a:srcRect/>
        <a:stretch>
          <a:fillRect/>
        </a:stretch>
      </blipFill>
      <spPr bwMode="auto">
        <a:xfrm>
          <a:off x="5118100" y="27254200"/>
          <a:ext cx="0" cy="342900"/>
        </a:xfrm>
        <a:prstGeom prst="rect">
          <avLst/>
        </a:prstGeom>
        <a:noFill/>
        <a:ln>
          <a:noFill/>
          <a:prstDash val="solid"/>
        </a:ln>
      </spPr>
    </pic>
    <clientData/>
  </twoCellAnchor>
  <twoCellAnchor editAs="oneCell">
    <from>
      <col>1</col>
      <colOff>3575050</colOff>
      <row>119</row>
      <rowOff>69850</rowOff>
    </from>
    <to>
      <col>1</col>
      <colOff>4521200</colOff>
      <row>119</row>
      <rowOff>412750</rowOff>
    </to>
    <pic macro="[0]!Sheet12.addRow_Oth_Exp_List">
      <nvPicPr>
        <cNvPr id="710444" name="Picture 1" descr="ADD Rows1.png"/>
        <cNvPicPr>
          <a:picLocks/>
        </cNvPicPr>
      </nvPicPr>
      <blipFill>
        <a:blip r:embed="rId4"/>
        <a:srcRect/>
        <a:stretch>
          <a:fillRect/>
        </a:stretch>
      </blipFill>
      <spPr bwMode="auto">
        <a:xfrm>
          <a:off x="4222750" y="24314150"/>
          <a:ext cx="946150" cy="342900"/>
        </a:xfrm>
        <a:prstGeom prst="rect">
          <avLst/>
        </a:prstGeom>
        <a:noFill/>
        <a:ln>
          <a:noFill/>
          <a:prstDash val="solid"/>
        </a:ln>
      </spPr>
    </pic>
    <clientData/>
  </twoCellAnchor>
  <twoCellAnchor editAs="oneCell">
    <from>
      <col>1</col>
      <colOff>3575050</colOff>
      <row>128</row>
      <rowOff>82550</rowOff>
    </from>
    <to>
      <col>1</col>
      <colOff>4521200</colOff>
      <row>128</row>
      <rowOff>444500</rowOff>
    </to>
    <pic macro="[0]!Sheet12.addRow_Oth_Income_List">
      <nvPicPr>
        <cNvPr id="710445" name="Picture 1" descr="ADD Rows1.png"/>
        <cNvPicPr>
          <a:picLocks/>
        </cNvPicPr>
      </nvPicPr>
      <blipFill>
        <a:blip r:embed="rId5"/>
        <a:srcRect/>
        <a:stretch>
          <a:fillRect/>
        </a:stretch>
      </blipFill>
      <spPr bwMode="auto">
        <a:xfrm>
          <a:off x="4222750" y="26803350"/>
          <a:ext cx="946150" cy="361950"/>
        </a:xfrm>
        <a:prstGeom prst="rect">
          <avLst/>
        </a:prstGeom>
        <a:noFill/>
        <a:ln>
          <a:noFill/>
          <a:prstDash val="solid"/>
        </a:ln>
      </spPr>
    </pic>
    <clientData/>
  </twoCellAnchor>
  <twoCellAnchor editAs="oneCell">
    <from>
      <col>1</col>
      <colOff>4591050</colOff>
      <row>129</row>
      <rowOff>76200</rowOff>
    </from>
    <to>
      <col>1</col>
      <colOff>5537200</colOff>
      <row>129</row>
      <rowOff>425450</rowOff>
    </to>
    <pic macro="[0]!findNext_sheet">
      <nvPicPr>
        <cNvPr id="710446" name="Picture 1" descr="next1.png"/>
        <cNvPicPr>
          <a:picLocks/>
        </cNvPicPr>
      </nvPicPr>
      <blipFill>
        <a:blip r:embed="rId6"/>
        <a:srcRect/>
        <a:stretch>
          <a:fillRect/>
        </a:stretch>
      </blipFill>
      <spPr bwMode="auto">
        <a:xfrm>
          <a:off x="5238750" y="27273250"/>
          <a:ext cx="946150" cy="349250"/>
        </a:xfrm>
        <a:prstGeom prst="rect">
          <avLst/>
        </a:prstGeom>
        <a:noFill/>
        <a:ln>
          <a:noFill/>
          <a:prstDash val="solid"/>
        </a:ln>
      </spPr>
    </pic>
    <clientData/>
  </twoCellAnchor>
  <twoCellAnchor editAs="oneCell">
    <from>
      <col>1</col>
      <colOff>3549650</colOff>
      <row>129</row>
      <rowOff>76200</rowOff>
    </from>
    <to>
      <col>1</col>
      <colOff>4495800</colOff>
      <row>129</row>
      <rowOff>425450</rowOff>
    </to>
    <pic macro="[0]!findPrev_sheet">
      <nvPicPr>
        <cNvPr id="710447" name="Picture 2" descr="Prev1.png"/>
        <cNvPicPr>
          <a:picLocks/>
        </cNvPicPr>
      </nvPicPr>
      <blipFill>
        <a:blip r:embed="rId7"/>
        <a:srcRect/>
        <a:stretch>
          <a:fillRect/>
        </a:stretch>
      </blipFill>
      <spPr bwMode="auto">
        <a:xfrm>
          <a:off x="4197350" y="27273250"/>
          <a:ext cx="946150" cy="349250"/>
        </a:xfrm>
        <a:prstGeom prst="rect">
          <avLst/>
        </a:prstGeom>
        <a:noFill/>
        <a:ln>
          <a:noFill/>
          <a:prstDash val="solid"/>
        </a:ln>
      </spPr>
    </pic>
    <clientData/>
  </twoCellAnchor>
  <twoCellAnchor>
    <from>
      <col>1</col>
      <colOff>4604385</colOff>
      <row>119</row>
      <rowOff>66675</rowOff>
    </from>
    <to>
      <col>1</col>
      <colOff>5608113</colOff>
      <row>119</row>
      <rowOff>430465</rowOff>
    </to>
    <pic macro="[0]!Module3.importCSV_B_Profit_Loss_Account_Wife_Part1">
      <nvPicPr>
        <cNvPr id="9" name="Picture 12"/>
        <cNvPicPr>
          <a:picLocks noChangeAspect="1"/>
        </cNvPicPr>
      </nvPicPr>
      <blipFill>
        <a:blip r:embed="rId8"/>
        <a:srcRect/>
        <a:stretch>
          <a:fillRect/>
        </a:stretch>
      </blipFill>
      <spPr bwMode="auto">
        <a:xfrm>
          <a:off x="5029200" y="25831800"/>
          <a:ext cx="876300" cy="342900"/>
        </a:xfrm>
        <a:prstGeom prst="rect">
          <avLst/>
        </a:prstGeom>
        <a:noFill/>
        <a:ln w="9525" cap="sq">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prstDash val="solid"/>
          <a:miter lim="800000"/>
          <a:headEnd/>
          <a:tailEnd/>
        </a:ln>
      </spPr>
    </pic>
    <clientData/>
  </twoCellAnchor>
  <twoCellAnchor>
    <from>
      <col>1</col>
      <colOff>4604385</colOff>
      <row>128</row>
      <rowOff>97155</rowOff>
    </from>
    <to>
      <col>1</col>
      <colOff>5608113</colOff>
      <row>128</row>
      <rowOff>447351</rowOff>
    </to>
    <pic macro="[0]!Module3.importCSV_B_Profit_Loss_Account_Wife_Part2">
      <nvPicPr>
        <cNvPr id="10" name="Picture 12"/>
        <cNvPicPr>
          <a:picLocks noChangeAspect="1"/>
        </cNvPicPr>
      </nvPicPr>
      <blipFill>
        <a:blip r:embed="rId9"/>
        <a:srcRect/>
        <a:stretch>
          <a:fillRect/>
        </a:stretch>
      </blipFill>
      <spPr bwMode="auto">
        <a:xfrm>
          <a:off x="5029200" y="28346400"/>
          <a:ext cx="876300" cy="342900"/>
        </a:xfrm>
        <a:prstGeom prst="rect">
          <avLst/>
        </a:prstGeom>
        <a:noFill/>
        <a:ln w="9525" cap="sq">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prstDash val="solid"/>
          <a:miter lim="800000"/>
          <a:headEnd/>
          <a:tailEnd/>
        </a:ln>
      </spPr>
    </pic>
    <clientData/>
  </twoCellAnchor>
</wsDr>
</file>

<file path=xl/drawings/drawing6.xml><?xml version="1.0" encoding="utf-8"?>
<wsDr xmlns:a="http://schemas.openxmlformats.org/drawingml/2006/main" xmlns:r="http://schemas.openxmlformats.org/officeDocument/2006/relationships" xmlns="http://schemas.openxmlformats.org/drawingml/2006/spreadsheetDrawing">
  <twoCellAnchor editAs="oneCell">
    <from>
      <col>1</col>
      <colOff>4660900</colOff>
      <row>86</row>
      <rowOff>76200</rowOff>
    </from>
    <to>
      <col>1</col>
      <colOff>5607050</colOff>
      <row>86</row>
      <rowOff>438150</rowOff>
    </to>
    <pic macro="[0]!findNext_sheet">
      <nvPicPr>
        <cNvPr id="666410" name="Picture 1" descr="next1.png"/>
        <cNvPicPr>
          <a:picLocks noChangeAspect="1"/>
        </cNvPicPr>
      </nvPicPr>
      <blipFill>
        <a:blip r:embed="rId1"/>
        <a:srcRect/>
        <a:stretch>
          <a:fillRect/>
        </a:stretch>
      </blipFill>
      <spPr bwMode="auto">
        <a:xfrm>
          <a:off x="5257800" y="17557750"/>
          <a:ext cx="946150" cy="361950"/>
        </a:xfrm>
        <a:prstGeom prst="rect">
          <avLst/>
        </a:prstGeom>
        <a:noFill/>
        <a:ln>
          <a:noFill/>
          <a:prstDash val="solid"/>
        </a:ln>
      </spPr>
    </pic>
    <clientData/>
  </twoCellAnchor>
  <twoCellAnchor editAs="oneCell">
    <from>
      <col>1</col>
      <colOff>3632200</colOff>
      <row>86</row>
      <rowOff>76200</rowOff>
    </from>
    <to>
      <col>1</col>
      <colOff>4578350</colOff>
      <row>86</row>
      <rowOff>425450</rowOff>
    </to>
    <pic macro="[0]!findPrev_sheet">
      <nvPicPr>
        <cNvPr id="666411" name="Picture 2" descr="Prev1.png"/>
        <cNvPicPr>
          <a:picLocks noChangeAspect="1"/>
        </cNvPicPr>
      </nvPicPr>
      <blipFill>
        <a:blip r:embed="rId2"/>
        <a:srcRect/>
        <a:stretch>
          <a:fillRect/>
        </a:stretch>
      </blipFill>
      <spPr bwMode="auto">
        <a:xfrm>
          <a:off x="4229100" y="17557750"/>
          <a:ext cx="946150" cy="349250"/>
        </a:xfrm>
        <a:prstGeom prst="rect">
          <avLst/>
        </a:prstGeom>
        <a:noFill/>
        <a:ln>
          <a:noFill/>
          <a:prstDash val="solid"/>
        </a:ln>
      </spPr>
    </pic>
    <clientData/>
  </twoCellAnchor>
</wsDr>
</file>

<file path=xl/drawings/drawing7.xml><?xml version="1.0" encoding="utf-8"?>
<wsDr xmlns:a="http://schemas.openxmlformats.org/drawingml/2006/main" xmlns:r="http://schemas.openxmlformats.org/officeDocument/2006/relationships" xmlns="http://schemas.openxmlformats.org/drawingml/2006/spreadsheetDrawing">
  <twoCellAnchor editAs="oneCell">
    <from>
      <col>2</col>
      <colOff>1320800</colOff>
      <row>5</row>
      <rowOff>133350</rowOff>
    </from>
    <to>
      <col>3</col>
      <colOff>336550</colOff>
      <row>7</row>
      <rowOff>76200</rowOff>
    </to>
    <pic macro="[0]!Sheet16.addRow_Inv_QuantDtlsListS">
      <nvPicPr>
        <cNvPr id="714246" name="Picture 13" descr="ADD1.png"/>
        <cNvPicPr>
          <a:picLocks/>
        </cNvPicPr>
      </nvPicPr>
      <blipFill>
        <a:blip r:embed="rId1"/>
        <a:srcRect/>
        <a:stretch>
          <a:fillRect/>
        </a:stretch>
      </blipFill>
      <spPr bwMode="auto">
        <a:xfrm>
          <a:off x="5194300" y="1720850"/>
          <a:ext cx="952500" cy="336550"/>
        </a:xfrm>
        <a:prstGeom prst="rect">
          <avLst/>
        </a:prstGeom>
        <a:noFill/>
        <a:ln>
          <a:noFill/>
          <a:prstDash val="solid"/>
        </a:ln>
      </spPr>
    </pic>
    <clientData/>
  </twoCellAnchor>
  <twoCellAnchor editAs="oneCell">
    <from>
      <col>2</col>
      <colOff>1270000</colOff>
      <row>13</row>
      <rowOff>76200</rowOff>
    </from>
    <to>
      <col>3</col>
      <colOff>292100</colOff>
      <row>13</row>
      <rowOff>419100</rowOff>
    </to>
    <pic macro="[0]!Sheet16.addRow_Inv_QuantDtlsListW">
      <nvPicPr>
        <cNvPr id="714247" name="Picture 5" descr="ADD1.png"/>
        <cNvPicPr>
          <a:picLocks/>
        </cNvPicPr>
      </nvPicPr>
      <blipFill>
        <a:blip r:embed="rId2"/>
        <a:srcRect/>
        <a:stretch>
          <a:fillRect/>
        </a:stretch>
      </blipFill>
      <spPr bwMode="auto">
        <a:xfrm>
          <a:off x="5143500" y="3803650"/>
          <a:ext cx="958850" cy="342900"/>
        </a:xfrm>
        <a:prstGeom prst="rect">
          <avLst/>
        </a:prstGeom>
        <a:noFill/>
        <a:ln>
          <a:noFill/>
          <a:prstDash val="solid"/>
        </a:ln>
      </spPr>
    </pic>
    <clientData/>
  </twoCellAnchor>
  <twoCellAnchor editAs="oneCell">
    <from>
      <col>3</col>
      <colOff>469900</colOff>
      <row>28</row>
      <rowOff>69850</rowOff>
    </from>
    <to>
      <col>3</col>
      <colOff>1428750</colOff>
      <row>28</row>
      <rowOff>412750</rowOff>
    </to>
    <pic macro="[0]!findNext_sheet">
      <nvPicPr>
        <cNvPr id="714248" name="Picture 6" descr="Next1.png"/>
        <cNvPicPr>
          <a:picLocks/>
        </cNvPicPr>
      </nvPicPr>
      <blipFill>
        <a:blip r:embed="rId3"/>
        <a:srcRect/>
        <a:stretch>
          <a:fillRect/>
        </a:stretch>
      </blipFill>
      <spPr bwMode="auto">
        <a:xfrm>
          <a:off x="6280150" y="8223250"/>
          <a:ext cx="958850" cy="342900"/>
        </a:xfrm>
        <a:prstGeom prst="rect">
          <avLst/>
        </a:prstGeom>
        <a:noFill/>
        <a:ln>
          <a:noFill/>
          <a:prstDash val="solid"/>
        </a:ln>
      </spPr>
    </pic>
    <clientData/>
  </twoCellAnchor>
  <twoCellAnchor editAs="oneCell">
    <from>
      <col>2</col>
      <colOff>1257300</colOff>
      <row>28</row>
      <rowOff>69850</rowOff>
    </from>
    <to>
      <col>3</col>
      <colOff>279400</colOff>
      <row>28</row>
      <rowOff>406400</rowOff>
    </to>
    <pic macro="[0]!findPrev_sheet">
      <nvPicPr>
        <cNvPr id="714249" name="Picture 7" descr="Prev1.png"/>
        <cNvPicPr>
          <a:picLocks/>
        </cNvPicPr>
      </nvPicPr>
      <blipFill>
        <a:blip r:embed="rId4"/>
        <a:srcRect/>
        <a:stretch>
          <a:fillRect/>
        </a:stretch>
      </blipFill>
      <spPr bwMode="auto">
        <a:xfrm>
          <a:off x="5130800" y="8223250"/>
          <a:ext cx="958850" cy="336550"/>
        </a:xfrm>
        <a:prstGeom prst="rect">
          <avLst/>
        </a:prstGeom>
        <a:noFill/>
        <a:ln>
          <a:noFill/>
          <a:prstDash val="solid"/>
        </a:ln>
      </spPr>
    </pic>
    <clientData/>
  </twoCellAnchor>
  <twoCellAnchor editAs="oneCell">
    <from>
      <col>2</col>
      <colOff>1276350</colOff>
      <row>19</row>
      <rowOff>152400</rowOff>
    </from>
    <to>
      <col>3</col>
      <colOff>298450</colOff>
      <row>21</row>
      <rowOff>95250</rowOff>
    </to>
    <pic macro="[0]!Sheet16.addRow_Inv_QuantDtlsListKIIS">
      <nvPicPr>
        <cNvPr id="714250" name="Picture 13" descr="ADD1.png"/>
        <cNvPicPr>
          <a:picLocks/>
        </cNvPicPr>
      </nvPicPr>
      <blipFill>
        <a:blip r:embed="rId5"/>
        <a:srcRect/>
        <a:stretch>
          <a:fillRect/>
        </a:stretch>
      </blipFill>
      <spPr bwMode="auto">
        <a:xfrm>
          <a:off x="5149850" y="5784850"/>
          <a:ext cx="958850" cy="336550"/>
        </a:xfrm>
        <a:prstGeom prst="rect">
          <avLst/>
        </a:prstGeom>
        <a:noFill/>
        <a:ln>
          <a:noFill/>
          <a:prstDash val="solid"/>
        </a:ln>
      </spPr>
    </pic>
    <clientData/>
  </twoCellAnchor>
  <twoCellAnchor editAs="oneCell">
    <from>
      <col>2</col>
      <colOff>1257300</colOff>
      <row>27</row>
      <rowOff>95250</rowOff>
    </from>
    <to>
      <col>3</col>
      <colOff>279400</colOff>
      <row>27</row>
      <rowOff>438150</rowOff>
    </to>
    <pic macro="[0]!Sheet16.addRow_Inv_QuantDtlsListKIIW">
      <nvPicPr>
        <cNvPr id="714251" name="Picture 5" descr="ADD1.png"/>
        <cNvPicPr>
          <a:picLocks/>
        </cNvPicPr>
      </nvPicPr>
      <blipFill>
        <a:blip r:embed="rId6"/>
        <a:srcRect/>
        <a:stretch>
          <a:fillRect/>
        </a:stretch>
      </blipFill>
      <spPr bwMode="auto">
        <a:xfrm>
          <a:off x="5130800" y="7772400"/>
          <a:ext cx="958850" cy="342900"/>
        </a:xfrm>
        <a:prstGeom prst="rect">
          <avLst/>
        </a:prstGeom>
        <a:noFill/>
        <a:ln>
          <a:noFill/>
          <a:prstDash val="solid"/>
        </a:ln>
      </spPr>
    </pic>
    <clientData/>
  </twoCellAnchor>
  <twoCellAnchor>
    <from>
      <col>3</col>
      <colOff>546100</colOff>
      <row>5</row>
      <rowOff>133350</rowOff>
    </from>
    <to>
      <col>3</col>
      <colOff>1504950</colOff>
      <row>7</row>
      <rowOff>76200</rowOff>
    </to>
    <pic macro="[0]!Module3.ImportCsvSecD1Self">
      <nvPicPr>
        <cNvPr id="714252" name="Picture 12"/>
        <cNvPicPr>
          <a:picLocks noChangeAspect="1"/>
        </cNvPicPr>
      </nvPicPr>
      <blipFill>
        <a:blip r:embed="rId7"/>
        <a:srcRect/>
        <a:stretch>
          <a:fillRect/>
        </a:stretch>
      </blipFill>
      <spPr bwMode="auto">
        <a:xfrm>
          <a:off x="6356350" y="1720850"/>
          <a:ext cx="958850" cy="336550"/>
        </a:xfrm>
        <a:prstGeom prst="rect">
          <avLst/>
        </a:prstGeom>
        <a:noFill/>
        <a:ln>
          <a:noFill/>
          <a:prstDash val="solid"/>
        </a:ln>
      </spPr>
    </pic>
    <clientData/>
  </twoCellAnchor>
  <twoCellAnchor>
    <from>
      <col>3</col>
      <colOff>508000</colOff>
      <row>13</row>
      <rowOff>76200</rowOff>
    </from>
    <to>
      <col>3</col>
      <colOff>1466850</colOff>
      <row>13</row>
      <rowOff>419100</rowOff>
    </to>
    <pic macro="[0]!Module3.ImportCsvSecD1Wife">
      <nvPicPr>
        <cNvPr id="714253" name="Picture 12"/>
        <cNvPicPr>
          <a:picLocks noChangeAspect="1"/>
        </cNvPicPr>
      </nvPicPr>
      <blipFill>
        <a:blip r:embed="rId8"/>
        <a:srcRect/>
        <a:stretch>
          <a:fillRect/>
        </a:stretch>
      </blipFill>
      <spPr bwMode="auto">
        <a:xfrm>
          <a:off x="6318250" y="3803650"/>
          <a:ext cx="958850" cy="342900"/>
        </a:xfrm>
        <a:prstGeom prst="rect">
          <avLst/>
        </a:prstGeom>
        <a:noFill/>
        <a:ln>
          <a:noFill/>
          <a:prstDash val="solid"/>
        </a:ln>
      </spPr>
    </pic>
    <clientData/>
  </twoCellAnchor>
  <twoCellAnchor>
    <from>
      <col>3</col>
      <colOff>501650</colOff>
      <row>19</row>
      <rowOff>152400</rowOff>
    </from>
    <to>
      <col>3</col>
      <colOff>1460500</colOff>
      <row>21</row>
      <rowOff>95250</rowOff>
    </to>
    <pic macro="[0]!Module3.ImportCsvSecD2Self">
      <nvPicPr>
        <cNvPr id="714254" name="Picture 12"/>
        <cNvPicPr>
          <a:picLocks noChangeAspect="1"/>
        </cNvPicPr>
      </nvPicPr>
      <blipFill>
        <a:blip r:embed="rId9"/>
        <a:srcRect/>
        <a:stretch>
          <a:fillRect/>
        </a:stretch>
      </blipFill>
      <spPr bwMode="auto">
        <a:xfrm>
          <a:off x="6311900" y="5784850"/>
          <a:ext cx="958850" cy="336550"/>
        </a:xfrm>
        <a:prstGeom prst="rect">
          <avLst/>
        </a:prstGeom>
        <a:noFill/>
        <a:ln>
          <a:noFill/>
          <a:prstDash val="solid"/>
        </a:ln>
      </spPr>
    </pic>
    <clientData/>
  </twoCellAnchor>
  <twoCellAnchor>
    <from>
      <col>3</col>
      <colOff>469900</colOff>
      <row>27</row>
      <rowOff>95250</rowOff>
    </from>
    <to>
      <col>3</col>
      <colOff>1428750</colOff>
      <row>27</row>
      <rowOff>438150</rowOff>
    </to>
    <pic macro="[0]!Module3.ImportCsvSecD2Wife">
      <nvPicPr>
        <cNvPr id="714255" name="Picture 12"/>
        <cNvPicPr>
          <a:picLocks noChangeAspect="1"/>
        </cNvPicPr>
      </nvPicPr>
      <blipFill>
        <a:blip r:embed="rId10"/>
        <a:srcRect/>
        <a:stretch>
          <a:fillRect/>
        </a:stretch>
      </blipFill>
      <spPr bwMode="auto">
        <a:xfrm>
          <a:off x="6280150" y="7772400"/>
          <a:ext cx="958850" cy="342900"/>
        </a:xfrm>
        <a:prstGeom prst="rect">
          <avLst/>
        </a:prstGeom>
        <a:noFill/>
        <a:ln>
          <a:noFill/>
          <a:prstDash val="solid"/>
        </a:ln>
      </spPr>
    </pic>
    <clientData/>
  </twoCellAnchor>
</wsDr>
</file>

<file path=xl/drawings/drawing8.xml><?xml version="1.0" encoding="utf-8"?>
<wsDr xmlns:a="http://schemas.openxmlformats.org/drawingml/2006/main" xmlns:r="http://schemas.openxmlformats.org/officeDocument/2006/relationships" xmlns="http://schemas.openxmlformats.org/drawingml/2006/spreadsheetDrawing">
  <twoCellAnchor editAs="oneCell">
    <from>
      <col>2</col>
      <colOff>1289050</colOff>
      <row>5</row>
      <rowOff>88900</rowOff>
    </from>
    <to>
      <col>3</col>
      <colOff>311150</colOff>
      <row>5</row>
      <rowOff>438150</rowOff>
    </to>
    <pic macro="[0]!Sheet31.addRow_IniAllPlanMach_ListPart1S">
      <nvPicPr>
        <cNvPr id="718146" name="Picture 13" descr="ADD1.png"/>
        <cNvPicPr>
          <a:picLocks noChangeAspect="1"/>
        </cNvPicPr>
      </nvPicPr>
      <blipFill>
        <a:blip r:embed="rId1"/>
        <a:srcRect/>
        <a:stretch>
          <a:fillRect/>
        </a:stretch>
      </blipFill>
      <spPr bwMode="auto">
        <a:xfrm>
          <a:off x="5162550" y="1473200"/>
          <a:ext cx="958850" cy="349250"/>
        </a:xfrm>
        <a:prstGeom prst="rect">
          <avLst/>
        </a:prstGeom>
        <a:noFill/>
        <a:ln>
          <a:noFill/>
          <a:prstDash val="solid"/>
        </a:ln>
      </spPr>
    </pic>
    <clientData/>
  </twoCellAnchor>
  <twoCellAnchor editAs="oneCell">
    <from>
      <col>2</col>
      <colOff>1295400</colOff>
      <row>11</row>
      <rowOff>95250</rowOff>
    </from>
    <to>
      <col>3</col>
      <colOff>317500</colOff>
      <row>11</row>
      <rowOff>444500</rowOff>
    </to>
    <pic macro="[0]!Sheet31.addRow_IniAllPlanMach_ListPart1W">
      <nvPicPr>
        <cNvPr id="718147" name="Picture 5" descr="ADD1.png"/>
        <cNvPicPr>
          <a:picLocks noChangeAspect="1"/>
        </cNvPicPr>
      </nvPicPr>
      <blipFill>
        <a:blip r:embed="rId2"/>
        <a:srcRect/>
        <a:stretch>
          <a:fillRect/>
        </a:stretch>
      </blipFill>
      <spPr bwMode="auto">
        <a:xfrm>
          <a:off x="5168900" y="3492500"/>
          <a:ext cx="958850" cy="349250"/>
        </a:xfrm>
        <a:prstGeom prst="rect">
          <avLst/>
        </a:prstGeom>
        <a:noFill/>
        <a:ln>
          <a:noFill/>
          <a:prstDash val="solid"/>
        </a:ln>
      </spPr>
    </pic>
    <clientData/>
  </twoCellAnchor>
  <twoCellAnchor editAs="oneCell">
    <from>
      <col>3</col>
      <colOff>488950</colOff>
      <row>48</row>
      <rowOff>69850</rowOff>
    </from>
    <to>
      <col>3</col>
      <colOff>1447800</colOff>
      <row>48</row>
      <rowOff>412750</rowOff>
    </to>
    <pic macro="[0]!findNext_sheet">
      <nvPicPr>
        <cNvPr id="718148" name="Picture 6" descr="Next1.png"/>
        <cNvPicPr>
          <a:picLocks noChangeAspect="1"/>
        </cNvPicPr>
      </nvPicPr>
      <blipFill>
        <a:blip r:embed="rId3"/>
        <a:srcRect/>
        <a:stretch>
          <a:fillRect/>
        </a:stretch>
      </blipFill>
      <spPr bwMode="auto">
        <a:xfrm>
          <a:off x="6299200" y="18084800"/>
          <a:ext cx="958850" cy="342900"/>
        </a:xfrm>
        <a:prstGeom prst="rect">
          <avLst/>
        </a:prstGeom>
        <a:noFill/>
        <a:ln>
          <a:noFill/>
          <a:prstDash val="solid"/>
        </a:ln>
      </spPr>
    </pic>
    <clientData/>
  </twoCellAnchor>
  <twoCellAnchor editAs="oneCell">
    <from>
      <col>2</col>
      <colOff>1276350</colOff>
      <row>48</row>
      <rowOff>69850</rowOff>
    </from>
    <to>
      <col>3</col>
      <colOff>298450</colOff>
      <row>48</row>
      <rowOff>406400</rowOff>
    </to>
    <pic macro="[0]!findPrev_sheet">
      <nvPicPr>
        <cNvPr id="718149" name="Picture 7" descr="Prev1.png"/>
        <cNvPicPr>
          <a:picLocks noChangeAspect="1"/>
        </cNvPicPr>
      </nvPicPr>
      <blipFill>
        <a:blip r:embed="rId4"/>
        <a:srcRect/>
        <a:stretch>
          <a:fillRect/>
        </a:stretch>
      </blipFill>
      <spPr bwMode="auto">
        <a:xfrm>
          <a:off x="5149850" y="18084800"/>
          <a:ext cx="958850" cy="336550"/>
        </a:xfrm>
        <a:prstGeom prst="rect">
          <avLst/>
        </a:prstGeom>
        <a:noFill/>
        <a:ln>
          <a:noFill/>
          <a:prstDash val="solid"/>
        </a:ln>
      </spPr>
    </pic>
    <clientData/>
  </twoCellAnchor>
  <twoCellAnchor editAs="oneCell">
    <from>
      <col>2</col>
      <colOff>1238250</colOff>
      <row>23</row>
      <rowOff>88900</rowOff>
    </from>
    <to>
      <col>3</col>
      <colOff>260350</colOff>
      <row>23</row>
      <rowOff>438150</rowOff>
    </to>
    <pic macro="[0]!Sheet31.addRow_IniAllIBD_ListPart2W">
      <nvPicPr>
        <cNvPr id="718150" name="Picture 5" descr="ADD1.png"/>
        <cNvPicPr>
          <a:picLocks noChangeAspect="1"/>
        </cNvPicPr>
      </nvPicPr>
      <blipFill>
        <a:blip r:embed="rId5"/>
        <a:srcRect/>
        <a:stretch>
          <a:fillRect/>
        </a:stretch>
      </blipFill>
      <spPr bwMode="auto">
        <a:xfrm>
          <a:off x="5111750" y="8083550"/>
          <a:ext cx="958850" cy="349250"/>
        </a:xfrm>
        <a:prstGeom prst="rect">
          <avLst/>
        </a:prstGeom>
        <a:noFill/>
        <a:ln>
          <a:noFill/>
          <a:prstDash val="solid"/>
        </a:ln>
      </spPr>
    </pic>
    <clientData/>
  </twoCellAnchor>
  <twoCellAnchor editAs="oneCell">
    <from>
      <col>2</col>
      <colOff>1289050</colOff>
      <row>17</row>
      <rowOff>63500</rowOff>
    </from>
    <to>
      <col>3</col>
      <colOff>311150</colOff>
      <row>17</row>
      <rowOff>419100</rowOff>
    </to>
    <pic macro="[0]!Sheet31.addRow_IniAllIBD_ListPart2S">
      <nvPicPr>
        <cNvPr id="718151" name="Picture 5" descr="ADD1.png"/>
        <cNvPicPr>
          <a:picLocks noChangeAspect="1"/>
        </cNvPicPr>
      </nvPicPr>
      <blipFill>
        <a:blip r:embed="rId6"/>
        <a:srcRect/>
        <a:stretch>
          <a:fillRect/>
        </a:stretch>
      </blipFill>
      <spPr bwMode="auto">
        <a:xfrm>
          <a:off x="5162550" y="5886450"/>
          <a:ext cx="958850" cy="355600"/>
        </a:xfrm>
        <a:prstGeom prst="rect">
          <avLst/>
        </a:prstGeom>
        <a:noFill/>
        <a:ln>
          <a:noFill/>
          <a:prstDash val="solid"/>
        </a:ln>
      </spPr>
    </pic>
    <clientData/>
  </twoCellAnchor>
  <twoCellAnchor editAs="oneCell">
    <from>
      <col>2</col>
      <colOff>1238250</colOff>
      <row>35</row>
      <rowOff>76200</rowOff>
    </from>
    <to>
      <col>3</col>
      <colOff>260350</colOff>
      <row>35</row>
      <rowOff>425450</rowOff>
    </to>
    <pic macro="[0]!Sheet31.addRow_AgrLandDed_ListW">
      <nvPicPr>
        <cNvPr id="718152" name="Picture 5" descr="ADD1.png"/>
        <cNvPicPr>
          <a:picLocks noChangeAspect="1"/>
        </cNvPicPr>
      </nvPicPr>
      <blipFill>
        <a:blip r:embed="rId7"/>
        <a:srcRect/>
        <a:stretch>
          <a:fillRect/>
        </a:stretch>
      </blipFill>
      <spPr bwMode="auto">
        <a:xfrm>
          <a:off x="5111750" y="12833350"/>
          <a:ext cx="958850" cy="349250"/>
        </a:xfrm>
        <a:prstGeom prst="rect">
          <avLst/>
        </a:prstGeom>
        <a:noFill/>
        <a:ln>
          <a:noFill/>
          <a:prstDash val="solid"/>
        </a:ln>
      </spPr>
    </pic>
    <clientData/>
  </twoCellAnchor>
  <twoCellAnchor editAs="oneCell">
    <from>
      <col>2</col>
      <colOff>1295400</colOff>
      <row>29</row>
      <rowOff>63500</rowOff>
    </from>
    <to>
      <col>3</col>
      <colOff>317500</colOff>
      <row>29</row>
      <rowOff>419100</rowOff>
    </to>
    <pic macro="[0]!Sheet31.addRow_AgrLandDed_ListS">
      <nvPicPr>
        <cNvPr id="718153" name="Picture 5" descr="ADD1.png"/>
        <cNvPicPr>
          <a:picLocks noChangeAspect="1"/>
        </cNvPicPr>
      </nvPicPr>
      <blipFill>
        <a:blip r:embed="rId8"/>
        <a:srcRect/>
        <a:stretch>
          <a:fillRect/>
        </a:stretch>
      </blipFill>
      <spPr bwMode="auto">
        <a:xfrm>
          <a:off x="5168900" y="10483850"/>
          <a:ext cx="958850" cy="355600"/>
        </a:xfrm>
        <a:prstGeom prst="rect">
          <avLst/>
        </a:prstGeom>
        <a:noFill/>
        <a:ln>
          <a:noFill/>
          <a:prstDash val="solid"/>
        </a:ln>
      </spPr>
    </pic>
    <clientData/>
  </twoCellAnchor>
  <twoCellAnchor editAs="oneCell">
    <from>
      <col>2</col>
      <colOff>1270000</colOff>
      <row>41</row>
      <rowOff>69850</rowOff>
    </from>
    <to>
      <col>3</col>
      <colOff>292100</colOff>
      <row>41</row>
      <rowOff>419100</rowOff>
    </to>
    <pic macro="[0]!Sheet31.addRow_DeprIntengAst_ListS">
      <nvPicPr>
        <cNvPr id="718154" name="Picture 13" descr="ADD1.png"/>
        <cNvPicPr>
          <a:picLocks noChangeAspect="1"/>
        </cNvPicPr>
      </nvPicPr>
      <blipFill>
        <a:blip r:embed="rId9"/>
        <a:srcRect/>
        <a:stretch>
          <a:fillRect/>
        </a:stretch>
      </blipFill>
      <spPr bwMode="auto">
        <a:xfrm>
          <a:off x="5143500" y="15265400"/>
          <a:ext cx="958850" cy="349250"/>
        </a:xfrm>
        <a:prstGeom prst="rect">
          <avLst/>
        </a:prstGeom>
        <a:noFill/>
        <a:ln>
          <a:noFill/>
          <a:prstDash val="solid"/>
        </a:ln>
      </spPr>
    </pic>
    <clientData/>
  </twoCellAnchor>
  <twoCellAnchor editAs="oneCell">
    <from>
      <col>2</col>
      <colOff>1289050</colOff>
      <row>47</row>
      <rowOff>82550</rowOff>
    </from>
    <to>
      <col>3</col>
      <colOff>311150</colOff>
      <row>47</row>
      <rowOff>438150</rowOff>
    </to>
    <pic macro="[0]!Sheet31.addRow_DeprIntengAst_ListW">
      <nvPicPr>
        <cNvPr id="718155" name="Picture 5" descr="ADD1.png"/>
        <cNvPicPr>
          <a:picLocks noChangeAspect="1"/>
        </cNvPicPr>
      </nvPicPr>
      <blipFill>
        <a:blip r:embed="rId10"/>
        <a:srcRect/>
        <a:stretch>
          <a:fillRect/>
        </a:stretch>
      </blipFill>
      <spPr bwMode="auto">
        <a:xfrm>
          <a:off x="5162550" y="17621250"/>
          <a:ext cx="958850" cy="355600"/>
        </a:xfrm>
        <a:prstGeom prst="rect">
          <avLst/>
        </a:prstGeom>
        <a:noFill/>
        <a:ln>
          <a:noFill/>
          <a:prstDash val="solid"/>
        </a:ln>
      </spPr>
    </pic>
    <clientData/>
  </twoCellAnchor>
  <twoCellAnchor>
    <from>
      <col>3</col>
      <colOff>501650</colOff>
      <row>5</row>
      <rowOff>88900</rowOff>
    </from>
    <to>
      <col>3</col>
      <colOff>1460500</colOff>
      <row>5</row>
      <rowOff>431800</rowOff>
    </to>
    <pic macro="[0]!Module3.ImportCsvSecE1_1Self">
      <nvPicPr>
        <cNvPr id="718156" name="Picture 12"/>
        <cNvPicPr>
          <a:picLocks noChangeAspect="1"/>
        </cNvPicPr>
      </nvPicPr>
      <blipFill>
        <a:blip r:embed="rId11"/>
        <a:srcRect/>
        <a:stretch>
          <a:fillRect/>
        </a:stretch>
      </blipFill>
      <spPr bwMode="auto">
        <a:xfrm>
          <a:off x="6311900" y="1473200"/>
          <a:ext cx="958850" cy="342900"/>
        </a:xfrm>
        <a:prstGeom prst="rect">
          <avLst/>
        </a:prstGeom>
        <a:noFill/>
        <a:ln>
          <a:noFill/>
          <a:prstDash val="solid"/>
        </a:ln>
      </spPr>
    </pic>
    <clientData/>
  </twoCellAnchor>
  <twoCellAnchor>
    <from>
      <col>3</col>
      <colOff>469900</colOff>
      <row>11</row>
      <rowOff>101600</rowOff>
    </from>
    <to>
      <col>3</col>
      <colOff>1428750</colOff>
      <row>11</row>
      <rowOff>444500</rowOff>
    </to>
    <pic macro="[0]!Module3.ImportCsvSecE1_1Wife">
      <nvPicPr>
        <cNvPr id="718157" name="Picture 12"/>
        <cNvPicPr>
          <a:picLocks noChangeAspect="1"/>
        </cNvPicPr>
      </nvPicPr>
      <blipFill>
        <a:blip r:embed="rId12"/>
        <a:srcRect/>
        <a:stretch>
          <a:fillRect/>
        </a:stretch>
      </blipFill>
      <spPr bwMode="auto">
        <a:xfrm>
          <a:off x="6280150" y="3498850"/>
          <a:ext cx="958850" cy="342900"/>
        </a:xfrm>
        <a:prstGeom prst="rect">
          <avLst/>
        </a:prstGeom>
        <a:noFill/>
        <a:ln>
          <a:noFill/>
          <a:prstDash val="solid"/>
        </a:ln>
      </spPr>
    </pic>
    <clientData/>
  </twoCellAnchor>
  <twoCellAnchor>
    <from>
      <col>3</col>
      <colOff>469900</colOff>
      <row>17</row>
      <rowOff>63500</rowOff>
    </from>
    <to>
      <col>3</col>
      <colOff>1428750</colOff>
      <row>17</row>
      <rowOff>406400</rowOff>
    </to>
    <pic macro="[0]!Module3.ImportCsvSecE1_2Self">
      <nvPicPr>
        <cNvPr id="718158" name="Picture 12"/>
        <cNvPicPr>
          <a:picLocks noChangeAspect="1"/>
        </cNvPicPr>
      </nvPicPr>
      <blipFill>
        <a:blip r:embed="rId13"/>
        <a:srcRect/>
        <a:stretch>
          <a:fillRect/>
        </a:stretch>
      </blipFill>
      <spPr bwMode="auto">
        <a:xfrm>
          <a:off x="6280150" y="5886450"/>
          <a:ext cx="958850" cy="342900"/>
        </a:xfrm>
        <a:prstGeom prst="rect">
          <avLst/>
        </a:prstGeom>
        <a:noFill/>
        <a:ln>
          <a:noFill/>
          <a:prstDash val="solid"/>
        </a:ln>
      </spPr>
    </pic>
    <clientData/>
  </twoCellAnchor>
  <twoCellAnchor>
    <from>
      <col>3</col>
      <colOff>469900</colOff>
      <row>29</row>
      <rowOff>63500</rowOff>
    </from>
    <to>
      <col>3</col>
      <colOff>1428750</colOff>
      <row>29</row>
      <rowOff>406400</rowOff>
    </to>
    <pic macro="[0]!Module3.ImportCsvSecE1_3Self">
      <nvPicPr>
        <cNvPr id="718159" name="Picture 12"/>
        <cNvPicPr>
          <a:picLocks noChangeAspect="1"/>
        </cNvPicPr>
      </nvPicPr>
      <blipFill>
        <a:blip r:embed="rId14"/>
        <a:srcRect/>
        <a:stretch>
          <a:fillRect/>
        </a:stretch>
      </blipFill>
      <spPr bwMode="auto">
        <a:xfrm>
          <a:off x="6280150" y="10483850"/>
          <a:ext cx="958850" cy="342900"/>
        </a:xfrm>
        <a:prstGeom prst="rect">
          <avLst/>
        </a:prstGeom>
        <a:noFill/>
        <a:ln>
          <a:noFill/>
          <a:prstDash val="solid"/>
        </a:ln>
      </spPr>
    </pic>
    <clientData/>
  </twoCellAnchor>
  <twoCellAnchor>
    <from>
      <col>3</col>
      <colOff>469900</colOff>
      <row>35</row>
      <rowOff>88900</rowOff>
    </from>
    <to>
      <col>3</col>
      <colOff>1428750</colOff>
      <row>35</row>
      <rowOff>431800</rowOff>
    </to>
    <pic macro="[0]!Module3.ImportCsvSecE1_3Wife">
      <nvPicPr>
        <cNvPr id="718160" name="Picture 12"/>
        <cNvPicPr>
          <a:picLocks noChangeAspect="1"/>
        </cNvPicPr>
      </nvPicPr>
      <blipFill>
        <a:blip r:embed="rId15"/>
        <a:srcRect/>
        <a:stretch>
          <a:fillRect/>
        </a:stretch>
      </blipFill>
      <spPr bwMode="auto">
        <a:xfrm>
          <a:off x="6280150" y="12846050"/>
          <a:ext cx="958850" cy="342900"/>
        </a:xfrm>
        <a:prstGeom prst="rect">
          <avLst/>
        </a:prstGeom>
        <a:noFill/>
        <a:ln>
          <a:noFill/>
          <a:prstDash val="solid"/>
        </a:ln>
      </spPr>
    </pic>
    <clientData/>
  </twoCellAnchor>
  <twoCellAnchor>
    <from>
      <col>3</col>
      <colOff>469900</colOff>
      <row>41</row>
      <rowOff>76200</rowOff>
    </from>
    <to>
      <col>3</col>
      <colOff>1428750</colOff>
      <row>41</row>
      <rowOff>419100</rowOff>
    </to>
    <pic macro="[0]!Module3.ImportCsvSecE1_4Self">
      <nvPicPr>
        <cNvPr id="718161" name="Picture 12"/>
        <cNvPicPr>
          <a:picLocks noChangeAspect="1"/>
        </cNvPicPr>
      </nvPicPr>
      <blipFill>
        <a:blip r:embed="rId16"/>
        <a:srcRect/>
        <a:stretch>
          <a:fillRect/>
        </a:stretch>
      </blipFill>
      <spPr bwMode="auto">
        <a:xfrm>
          <a:off x="6280150" y="15271750"/>
          <a:ext cx="958850" cy="342900"/>
        </a:xfrm>
        <a:prstGeom prst="rect">
          <avLst/>
        </a:prstGeom>
        <a:noFill/>
        <a:ln>
          <a:noFill/>
          <a:prstDash val="solid"/>
        </a:ln>
      </spPr>
    </pic>
    <clientData/>
  </twoCellAnchor>
  <twoCellAnchor>
    <from>
      <col>3</col>
      <colOff>469900</colOff>
      <row>47</row>
      <rowOff>82550</rowOff>
    </from>
    <to>
      <col>3</col>
      <colOff>1428750</colOff>
      <row>47</row>
      <rowOff>425450</rowOff>
    </to>
    <pic macro="[0]!Module3.ImportCsvSecE1_4Wife">
      <nvPicPr>
        <cNvPr id="718162" name="Picture 12"/>
        <cNvPicPr>
          <a:picLocks noChangeAspect="1"/>
        </cNvPicPr>
      </nvPicPr>
      <blipFill>
        <a:blip r:embed="rId17"/>
        <a:srcRect/>
        <a:stretch>
          <a:fillRect/>
        </a:stretch>
      </blipFill>
      <spPr bwMode="auto">
        <a:xfrm>
          <a:off x="6280150" y="17621250"/>
          <a:ext cx="958850" cy="342900"/>
        </a:xfrm>
        <a:prstGeom prst="rect">
          <avLst/>
        </a:prstGeom>
        <a:noFill/>
        <a:ln>
          <a:noFill/>
          <a:prstDash val="solid"/>
        </a:ln>
      </spPr>
    </pic>
    <clientData/>
  </twoCellAnchor>
  <twoCellAnchor>
    <from>
      <col>3</col>
      <colOff>469900</colOff>
      <row>23</row>
      <rowOff>88900</rowOff>
    </from>
    <to>
      <col>3</col>
      <colOff>1428750</colOff>
      <row>23</row>
      <rowOff>431800</rowOff>
    </to>
    <pic macro="[0]!Module3.ImportCsvSecE1_2Wife">
      <nvPicPr>
        <cNvPr id="718163" name="Picture 18"/>
        <cNvPicPr>
          <a:picLocks noChangeAspect="1"/>
        </cNvPicPr>
      </nvPicPr>
      <blipFill>
        <a:blip r:embed="rId18"/>
        <a:srcRect/>
        <a:stretch>
          <a:fillRect/>
        </a:stretch>
      </blipFill>
      <spPr bwMode="auto">
        <a:xfrm>
          <a:off x="6280150" y="8083550"/>
          <a:ext cx="958850" cy="342900"/>
        </a:xfrm>
        <a:prstGeom prst="rect">
          <avLst/>
        </a:prstGeom>
        <a:noFill/>
        <a:ln>
          <a:noFill/>
          <a:prstDash val="solid"/>
        </a:ln>
      </spPr>
    </pic>
    <clientData/>
  </twoCellAnchor>
</wsDr>
</file>

<file path=xl/drawings/drawing9.xml><?xml version="1.0" encoding="utf-8"?>
<wsDr xmlns:a="http://schemas.openxmlformats.org/drawingml/2006/main" xmlns:r="http://schemas.openxmlformats.org/officeDocument/2006/relationships" xmlns="http://schemas.openxmlformats.org/drawingml/2006/spreadsheetDrawing">
  <twoCellAnchor editAs="oneCell">
    <from>
      <col>2</col>
      <colOff>1549400</colOff>
      <row>23</row>
      <rowOff>82550</rowOff>
    </from>
    <to>
      <col>3</col>
      <colOff>571500</colOff>
      <row>23</row>
      <rowOff>425450</rowOff>
    </to>
    <pic macro="[0]!findNext_sheet">
      <nvPicPr>
        <cNvPr id="664363" name="Picture 14" descr="Next1.png"/>
        <cNvPicPr>
          <a:picLocks/>
        </cNvPicPr>
      </nvPicPr>
      <blipFill>
        <a:blip r:embed="rId1"/>
        <a:srcRect/>
        <a:stretch>
          <a:fillRect/>
        </a:stretch>
      </blipFill>
      <spPr bwMode="auto">
        <a:xfrm>
          <a:off x="6381750" y="8064500"/>
          <a:ext cx="958850" cy="342900"/>
        </a:xfrm>
        <a:prstGeom prst="rect">
          <avLst/>
        </a:prstGeom>
        <a:noFill/>
        <a:ln>
          <a:noFill/>
          <a:prstDash val="solid"/>
        </a:ln>
      </spPr>
    </pic>
    <clientData/>
  </twoCellAnchor>
  <twoCellAnchor editAs="oneCell">
    <from>
      <col>2</col>
      <colOff>450850</colOff>
      <row>23</row>
      <rowOff>82550</rowOff>
    </from>
    <to>
      <col>2</col>
      <colOff>1409700</colOff>
      <row>23</row>
      <rowOff>425450</rowOff>
    </to>
    <pic macro="[0]!findPrev_sheet">
      <nvPicPr>
        <cNvPr id="664364" name="Picture 15" descr="Prev1.png"/>
        <cNvPicPr>
          <a:picLocks/>
        </cNvPicPr>
      </nvPicPr>
      <blipFill>
        <a:blip r:embed="rId2"/>
        <a:srcRect/>
        <a:stretch>
          <a:fillRect/>
        </a:stretch>
      </blipFill>
      <spPr bwMode="auto">
        <a:xfrm>
          <a:off x="5283200" y="8064500"/>
          <a:ext cx="958850" cy="342900"/>
        </a:xfrm>
        <a:prstGeom prst="rect">
          <avLst/>
        </a:prstGeom>
        <a:noFill/>
        <a:ln>
          <a:noFill/>
          <a:prstDash val="solid"/>
        </a:ln>
      </spPr>
    </pic>
    <clientData/>
  </twoCellAnchor>
</wsDr>
</file>

<file path=xl/drawings/drawing10.xml><?xml version="1.0" encoding="utf-8"?>
<wsDr xmlns:a="http://schemas.openxmlformats.org/drawingml/2006/main" xmlns:r="http://schemas.openxmlformats.org/officeDocument/2006/relationships" xmlns="http://schemas.openxmlformats.org/drawingml/2006/spreadsheetDrawing">
  <twoCellAnchor editAs="oneCell">
    <from>
      <col>3</col>
      <colOff>508000</colOff>
      <row>14</row>
      <rowOff>57150</rowOff>
    </from>
    <to>
      <col>3</col>
      <colOff>508000</colOff>
      <row>15</row>
      <rowOff>0</rowOff>
    </to>
    <pic>
      <nvPicPr>
        <cNvPr id="715984" name="Picture 6" descr="Next1.png"/>
        <cNvPicPr>
          <a:picLocks noChangeAspect="1"/>
        </cNvPicPr>
      </nvPicPr>
      <blipFill>
        <a:blip r:embed="rId1"/>
        <a:srcRect/>
        <a:stretch>
          <a:fillRect/>
        </a:stretch>
      </blipFill>
      <spPr bwMode="auto">
        <a:xfrm>
          <a:off x="6318250" y="5270500"/>
          <a:ext cx="0" cy="419100"/>
        </a:xfrm>
        <a:prstGeom prst="rect">
          <avLst/>
        </a:prstGeom>
        <a:noFill/>
        <a:ln>
          <a:noFill/>
          <a:prstDash val="solid"/>
        </a:ln>
      </spPr>
    </pic>
    <clientData/>
  </twoCellAnchor>
  <twoCellAnchor editAs="oneCell">
    <from>
      <col>2</col>
      <colOff>1339850</colOff>
      <row>14</row>
      <rowOff>57150</rowOff>
    </from>
    <to>
      <col>2</col>
      <colOff>1339850</colOff>
      <row>15</row>
      <rowOff>0</rowOff>
    </to>
    <pic>
      <nvPicPr>
        <cNvPr id="715985" name="Picture 7" descr="Prev1.png"/>
        <cNvPicPr>
          <a:picLocks noChangeAspect="1"/>
        </cNvPicPr>
      </nvPicPr>
      <blipFill>
        <a:blip r:embed="rId2"/>
        <a:srcRect/>
        <a:stretch>
          <a:fillRect/>
        </a:stretch>
      </blipFill>
      <spPr bwMode="auto">
        <a:xfrm>
          <a:off x="5213350" y="5270500"/>
          <a:ext cx="0" cy="419100"/>
        </a:xfrm>
        <a:prstGeom prst="rect">
          <avLst/>
        </a:prstGeom>
        <a:noFill/>
        <a:ln>
          <a:noFill/>
          <a:prstDash val="solid"/>
        </a:ln>
      </spPr>
    </pic>
    <clientData/>
  </twoCellAnchor>
  <twoCellAnchor editAs="oneCell">
    <from>
      <col>2</col>
      <colOff>1885950</colOff>
      <row>13</row>
      <rowOff>95250</rowOff>
    </from>
    <to>
      <col>2</col>
      <colOff>1885950</colOff>
      <row>14</row>
      <rowOff>0</rowOff>
    </to>
    <pic>
      <nvPicPr>
        <cNvPr id="715986" name="Picture 5" descr="ADD1.png"/>
        <cNvPicPr>
          <a:picLocks noChangeAspect="1"/>
        </cNvPicPr>
      </nvPicPr>
      <blipFill>
        <a:blip r:embed="rId3"/>
        <a:srcRect/>
        <a:stretch>
          <a:fillRect/>
        </a:stretch>
      </blipFill>
      <spPr bwMode="auto">
        <a:xfrm>
          <a:off x="5759450" y="4832350"/>
          <a:ext cx="0" cy="381000"/>
        </a:xfrm>
        <a:prstGeom prst="rect">
          <avLst/>
        </a:prstGeom>
        <a:noFill/>
        <a:ln>
          <a:noFill/>
          <a:prstDash val="solid"/>
        </a:ln>
      </spPr>
    </pic>
    <clientData/>
  </twoCellAnchor>
  <twoCellAnchor editAs="oneCell">
    <from>
      <col>2</col>
      <colOff>1885950</colOff>
      <row>6</row>
      <rowOff>95250</rowOff>
    </from>
    <to>
      <col>2</col>
      <colOff>1885950</colOff>
      <row>6</row>
      <rowOff>476250</rowOff>
    </to>
    <pic>
      <nvPicPr>
        <cNvPr id="715987" name="Picture 5" descr="ADD1.png"/>
        <cNvPicPr>
          <a:picLocks noChangeAspect="1"/>
        </cNvPicPr>
      </nvPicPr>
      <blipFill>
        <a:blip r:embed="rId4"/>
        <a:srcRect/>
        <a:stretch>
          <a:fillRect/>
        </a:stretch>
      </blipFill>
      <spPr bwMode="auto">
        <a:xfrm>
          <a:off x="5759450" y="2139950"/>
          <a:ext cx="0" cy="381000"/>
        </a:xfrm>
        <a:prstGeom prst="rect">
          <avLst/>
        </a:prstGeom>
        <a:noFill/>
        <a:ln>
          <a:noFill/>
          <a:prstDash val="solid"/>
        </a:ln>
      </spPr>
    </pic>
    <clientData/>
  </twoCellAnchor>
  <twoCellAnchor editAs="oneCell">
    <from>
      <col>3</col>
      <colOff>349250</colOff>
      <row>14</row>
      <rowOff>69850</rowOff>
    </from>
    <to>
      <col>3</col>
      <colOff>1308100</colOff>
      <row>14</row>
      <rowOff>412750</rowOff>
    </to>
    <pic macro="[0]!Sheet22.next_sheet">
      <nvPicPr>
        <cNvPr id="715988" name="Picture 6" descr="Next1.png"/>
        <cNvPicPr>
          <a:picLocks noChangeAspect="1"/>
        </cNvPicPr>
      </nvPicPr>
      <blipFill>
        <a:blip r:embed="rId5"/>
        <a:srcRect/>
        <a:stretch>
          <a:fillRect/>
        </a:stretch>
      </blipFill>
      <spPr bwMode="auto">
        <a:xfrm>
          <a:off x="6159500" y="5283200"/>
          <a:ext cx="958850" cy="342900"/>
        </a:xfrm>
        <a:prstGeom prst="rect">
          <avLst/>
        </a:prstGeom>
        <a:noFill/>
        <a:ln>
          <a:noFill/>
          <a:prstDash val="solid"/>
        </a:ln>
      </spPr>
    </pic>
    <clientData/>
  </twoCellAnchor>
  <twoCellAnchor editAs="oneCell">
    <from>
      <col>2</col>
      <colOff>1136650</colOff>
      <row>14</row>
      <rowOff>69850</rowOff>
    </from>
    <to>
      <col>3</col>
      <colOff>158750</colOff>
      <row>14</row>
      <rowOff>406400</rowOff>
    </to>
    <pic macro="[0]!findPrev_sheet">
      <nvPicPr>
        <cNvPr id="715989" name="Picture 7" descr="Prev1.png"/>
        <cNvPicPr>
          <a:picLocks noChangeAspect="1"/>
        </cNvPicPr>
      </nvPicPr>
      <blipFill>
        <a:blip r:embed="rId6"/>
        <a:srcRect/>
        <a:stretch>
          <a:fillRect/>
        </a:stretch>
      </blipFill>
      <spPr bwMode="auto">
        <a:xfrm>
          <a:off x="5010150" y="5283200"/>
          <a:ext cx="958850" cy="336550"/>
        </a:xfrm>
        <a:prstGeom prst="rect">
          <avLst/>
        </a:prstGeom>
        <a:noFill/>
        <a:ln>
          <a:noFill/>
          <a:prstDash val="solid"/>
        </a:ln>
      </spPr>
    </pic>
    <clientData/>
  </twoCellAnchor>
  <twoCellAnchor editAs="oneCell">
    <from>
      <col>2</col>
      <colOff>1155700</colOff>
      <row>13</row>
      <rowOff>95250</rowOff>
    </from>
    <to>
      <col>3</col>
      <colOff>177800</colOff>
      <row>13</row>
      <rowOff>450850</rowOff>
    </to>
    <pic macro="[0]!Sheet22.addRow_WAT_ListW">
      <nvPicPr>
        <cNvPr id="715990" name="Picture 5" descr="ADD1.png"/>
        <cNvPicPr>
          <a:picLocks noChangeAspect="1"/>
        </cNvPicPr>
      </nvPicPr>
      <blipFill>
        <a:blip r:embed="rId7"/>
        <a:srcRect/>
        <a:stretch>
          <a:fillRect/>
        </a:stretch>
      </blipFill>
      <spPr bwMode="auto">
        <a:xfrm>
          <a:off x="5029200" y="4832350"/>
          <a:ext cx="958850" cy="355600"/>
        </a:xfrm>
        <a:prstGeom prst="rect">
          <avLst/>
        </a:prstGeom>
        <a:noFill/>
        <a:ln>
          <a:noFill/>
          <a:prstDash val="solid"/>
        </a:ln>
      </spPr>
    </pic>
    <clientData/>
  </twoCellAnchor>
  <twoCellAnchor editAs="oneCell">
    <from>
      <col>2</col>
      <colOff>1219200</colOff>
      <row>6</row>
      <rowOff>76200</rowOff>
    </from>
    <to>
      <col>3</col>
      <colOff>241300</colOff>
      <row>6</row>
      <rowOff>425450</rowOff>
    </to>
    <pic macro="[0]!Sheet22.addRow_WAT_ListS">
      <nvPicPr>
        <cNvPr id="715991" name="Picture 5" descr="ADD1.png"/>
        <cNvPicPr>
          <a:picLocks noChangeAspect="1"/>
        </cNvPicPr>
      </nvPicPr>
      <blipFill>
        <a:blip r:embed="rId8"/>
        <a:srcRect/>
        <a:stretch>
          <a:fillRect/>
        </a:stretch>
      </blipFill>
      <spPr bwMode="auto">
        <a:xfrm>
          <a:off x="5092700" y="2120900"/>
          <a:ext cx="958850" cy="349250"/>
        </a:xfrm>
        <a:prstGeom prst="rect">
          <avLst/>
        </a:prstGeom>
        <a:noFill/>
        <a:ln>
          <a:noFill/>
          <a:prstDash val="solid"/>
        </a:ln>
      </spPr>
    </pic>
    <clientData/>
  </twoCellAnchor>
  <twoCellAnchor>
    <from>
      <col>3</col>
      <colOff>361950</colOff>
      <row>6</row>
      <rowOff>88900</rowOff>
    </from>
    <to>
      <col>3</col>
      <colOff>1320800</colOff>
      <row>6</row>
      <rowOff>431800</rowOff>
    </to>
    <pic macro="[0]!Module3.ImportCsvSecE2Self">
      <nvPicPr>
        <cNvPr id="715992" name="Picture 9"/>
        <cNvPicPr>
          <a:picLocks noChangeAspect="1"/>
        </cNvPicPr>
      </nvPicPr>
      <blipFill>
        <a:blip r:embed="rId9"/>
        <a:srcRect/>
        <a:stretch>
          <a:fillRect/>
        </a:stretch>
      </blipFill>
      <spPr bwMode="auto">
        <a:xfrm>
          <a:off x="6172200" y="2133600"/>
          <a:ext cx="958850" cy="342900"/>
        </a:xfrm>
        <a:prstGeom prst="rect">
          <avLst/>
        </a:prstGeom>
        <a:noFill/>
        <a:ln>
          <a:noFill/>
          <a:prstDash val="solid"/>
        </a:ln>
      </spPr>
    </pic>
    <clientData/>
  </twoCellAnchor>
  <twoCellAnchor>
    <from>
      <col>3</col>
      <colOff>361950</colOff>
      <row>13</row>
      <rowOff>95250</rowOff>
    </from>
    <to>
      <col>3</col>
      <colOff>1320800</colOff>
      <row>13</row>
      <rowOff>438150</rowOff>
    </to>
    <pic macro="[0]!Module3.ImportCsvSecE2Wife">
      <nvPicPr>
        <cNvPr id="715993" name="Picture 10"/>
        <cNvPicPr>
          <a:picLocks noChangeAspect="1"/>
        </cNvPicPr>
      </nvPicPr>
      <blipFill>
        <a:blip r:embed="rId10"/>
        <a:srcRect/>
        <a:stretch>
          <a:fillRect/>
        </a:stretch>
      </blipFill>
      <spPr bwMode="auto">
        <a:xfrm>
          <a:off x="6172200" y="4832350"/>
          <a:ext cx="958850" cy="342900"/>
        </a:xfrm>
        <a:prstGeom prst="rect">
          <avLst/>
        </a:prstGeom>
        <a:noFill/>
        <a:ln>
          <a:noFill/>
          <a:prstDash val="solid"/>
        </a:ln>
      </spPr>
    </pic>
    <clientData/>
  </twoCellAnchor>
</wsDr>
</file>

<file path=xl/drawings/drawing11.xml><?xml version="1.0" encoding="utf-8"?>
<wsDr xmlns:a="http://schemas.openxmlformats.org/drawingml/2006/main" xmlns:r="http://schemas.openxmlformats.org/officeDocument/2006/relationships" xmlns="http://schemas.openxmlformats.org/drawingml/2006/spreadsheetDrawing">
  <twoCellAnchor editAs="oneCell">
    <from>
      <col>1</col>
      <colOff>5029200</colOff>
      <row>11</row>
      <rowOff>76200</rowOff>
    </from>
    <to>
      <col>2</col>
      <colOff>336550</colOff>
      <row>11</row>
      <rowOff>419100</rowOff>
    </to>
    <pic macro="[0]!findNext_sheet">
      <nvPicPr>
        <cNvPr id="667434" name="Picture 14" descr="Next1.png"/>
        <cNvPicPr>
          <a:picLocks/>
        </cNvPicPr>
      </nvPicPr>
      <blipFill>
        <a:blip r:embed="rId1"/>
        <a:srcRect/>
        <a:stretch>
          <a:fillRect/>
        </a:stretch>
      </blipFill>
      <spPr bwMode="auto">
        <a:xfrm>
          <a:off x="5626100" y="4171950"/>
          <a:ext cx="946150" cy="342900"/>
        </a:xfrm>
        <a:prstGeom prst="rect">
          <avLst/>
        </a:prstGeom>
        <a:noFill/>
        <a:ln>
          <a:noFill/>
          <a:prstDash val="solid"/>
        </a:ln>
      </spPr>
    </pic>
    <clientData/>
  </twoCellAnchor>
  <twoCellAnchor editAs="oneCell">
    <from>
      <col>1</col>
      <colOff>3911600</colOff>
      <row>11</row>
      <rowOff>76200</rowOff>
    </from>
    <to>
      <col>1</col>
      <colOff>4857750</colOff>
      <row>11</row>
      <rowOff>419100</rowOff>
    </to>
    <pic macro="[0]!findPrev_sheet">
      <nvPicPr>
        <cNvPr id="667435" name="Picture 15" descr="Prev1.png"/>
        <cNvPicPr>
          <a:picLocks/>
        </cNvPicPr>
      </nvPicPr>
      <blipFill>
        <a:blip r:embed="rId2"/>
        <a:srcRect/>
        <a:stretch>
          <a:fillRect/>
        </a:stretch>
      </blipFill>
      <spPr bwMode="auto">
        <a:xfrm>
          <a:off x="4508500" y="4171950"/>
          <a:ext cx="946150" cy="342900"/>
        </a:xfrm>
        <a:prstGeom prst="rect">
          <avLst/>
        </a:prstGeom>
        <a:noFill/>
        <a:ln>
          <a:noFill/>
          <a:prstDash val="solid"/>
        </a:ln>
      </spPr>
    </pic>
    <clientData/>
  </twoCellAnchor>
</wsDr>
</file>

<file path=xl/drawings/drawing12.xml><?xml version="1.0" encoding="utf-8"?>
<wsDr xmlns:a="http://schemas.openxmlformats.org/drawingml/2006/main" xmlns:r="http://schemas.openxmlformats.org/officeDocument/2006/relationships" xmlns="http://schemas.openxmlformats.org/drawingml/2006/spreadsheetDrawing">
  <twoCellAnchor editAs="oneCell">
    <from>
      <col>2</col>
      <colOff>1689100</colOff>
      <row>21</row>
      <rowOff>82550</rowOff>
    </from>
    <to>
      <col>3</col>
      <colOff>711200</colOff>
      <row>21</row>
      <rowOff>425450</rowOff>
    </to>
    <pic macro="[0]!Sheet3.addRow_EmpIncome_ListW">
      <nvPicPr>
        <cNvPr id="701012" name="Picture 5" descr="ADD1.png"/>
        <cNvPicPr>
          <a:picLocks/>
        </cNvPicPr>
      </nvPicPr>
      <blipFill>
        <a:blip r:embed="rId1"/>
        <a:srcRect/>
        <a:stretch>
          <a:fillRect/>
        </a:stretch>
      </blipFill>
      <spPr bwMode="auto">
        <a:xfrm>
          <a:off x="5562600" y="4635500"/>
          <a:ext cx="958850" cy="342900"/>
        </a:xfrm>
        <a:prstGeom prst="rect">
          <avLst/>
        </a:prstGeom>
        <a:noFill/>
        <a:ln>
          <a:noFill/>
          <a:prstDash val="solid"/>
        </a:ln>
      </spPr>
    </pic>
    <clientData/>
  </twoCellAnchor>
  <twoCellAnchor editAs="oneCell">
    <from>
      <col>2</col>
      <colOff>1695450</colOff>
      <row>9</row>
      <rowOff>120650</rowOff>
    </from>
    <to>
      <col>3</col>
      <colOff>717550</colOff>
      <row>11</row>
      <rowOff>76200</rowOff>
    </to>
    <pic macro="[0]!Sheet3.addRow_EmpIncome_ListS">
      <nvPicPr>
        <cNvPr id="701013" name="Picture 5" descr="ADD1.png"/>
        <cNvPicPr>
          <a:picLocks noChangeAspect="1"/>
        </cNvPicPr>
      </nvPicPr>
      <blipFill>
        <a:blip r:embed="rId2"/>
        <a:srcRect/>
        <a:stretch>
          <a:fillRect/>
        </a:stretch>
      </blipFill>
      <spPr bwMode="auto">
        <a:xfrm>
          <a:off x="5568950" y="2095500"/>
          <a:ext cx="958850" cy="349250"/>
        </a:xfrm>
        <a:prstGeom prst="rect">
          <avLst/>
        </a:prstGeom>
        <a:noFill/>
        <a:ln>
          <a:noFill/>
          <a:prstDash val="solid"/>
        </a:ln>
      </spPr>
    </pic>
    <clientData/>
  </twoCellAnchor>
  <twoCellAnchor editAs="oneCell">
    <from>
      <col>3</col>
      <colOff>247650</colOff>
      <row>22</row>
      <rowOff>69850</rowOff>
    </from>
    <to>
      <col>3</col>
      <colOff>1206500</colOff>
      <row>22</row>
      <rowOff>412750</rowOff>
    </to>
    <pic macro="[0]!findNext_sheet">
      <nvPicPr>
        <cNvPr id="701014" name="Picture 6" descr="Next1.png"/>
        <cNvPicPr>
          <a:picLocks/>
        </cNvPicPr>
      </nvPicPr>
      <blipFill>
        <a:blip r:embed="rId3"/>
        <a:srcRect/>
        <a:stretch>
          <a:fillRect/>
        </a:stretch>
      </blipFill>
      <spPr bwMode="auto">
        <a:xfrm>
          <a:off x="6057900" y="5099050"/>
          <a:ext cx="958850" cy="342900"/>
        </a:xfrm>
        <a:prstGeom prst="rect">
          <avLst/>
        </a:prstGeom>
        <a:noFill/>
        <a:ln>
          <a:noFill/>
          <a:prstDash val="solid"/>
        </a:ln>
      </spPr>
    </pic>
    <clientData/>
  </twoCellAnchor>
  <twoCellAnchor editAs="oneCell">
    <from>
      <col>2</col>
      <colOff>1079500</colOff>
      <row>22</row>
      <rowOff>57150</rowOff>
    </from>
    <to>
      <col>3</col>
      <colOff>101600</colOff>
      <row>22</row>
      <rowOff>400050</rowOff>
    </to>
    <pic macro="[0]!findPrev_sheet">
      <nvPicPr>
        <cNvPr id="701015" name="Picture 7" descr="Prev1.png"/>
        <cNvPicPr>
          <a:picLocks/>
        </cNvPicPr>
      </nvPicPr>
      <blipFill>
        <a:blip r:embed="rId4"/>
        <a:srcRect/>
        <a:stretch>
          <a:fillRect/>
        </a:stretch>
      </blipFill>
      <spPr bwMode="auto">
        <a:xfrm>
          <a:off x="4953000" y="5086350"/>
          <a:ext cx="958850" cy="342900"/>
        </a:xfrm>
        <a:prstGeom prst="rect">
          <avLst/>
        </a:prstGeom>
        <a:noFill/>
        <a:ln>
          <a:noFill/>
          <a:prstDash val="solid"/>
        </a:ln>
      </spPr>
    </pic>
    <clientData/>
  </twoCellAnchor>
</wsDr>
</file>

<file path=xl/drawings/drawing13.xml><?xml version="1.0" encoding="utf-8"?>
<wsDr xmlns:a="http://schemas.openxmlformats.org/drawingml/2006/main" xmlns:r="http://schemas.openxmlformats.org/officeDocument/2006/relationships" xmlns="http://schemas.openxmlformats.org/drawingml/2006/spreadsheetDrawing">
  <twoCellAnchor editAs="oneCell">
    <from>
      <col>2</col>
      <colOff>1873250</colOff>
      <row>13</row>
      <rowOff>101600</rowOff>
    </from>
    <to>
      <col>3</col>
      <colOff>895350</colOff>
      <row>13</row>
      <rowOff>450850</rowOff>
    </to>
    <pic macro="[0]!Sheet33.addRow_ProfitShare_ListW">
      <nvPicPr>
        <cNvPr id="695966" name="Picture 5" descr="ADD1.png"/>
        <cNvPicPr>
          <a:picLocks/>
        </cNvPicPr>
      </nvPicPr>
      <blipFill>
        <a:blip r:embed="rId1"/>
        <a:srcRect/>
        <a:stretch>
          <a:fillRect/>
        </a:stretch>
      </blipFill>
      <spPr bwMode="auto">
        <a:xfrm>
          <a:off x="5746750" y="3917950"/>
          <a:ext cx="958850" cy="349250"/>
        </a:xfrm>
        <a:prstGeom prst="rect">
          <avLst/>
        </a:prstGeom>
        <a:noFill/>
        <a:ln>
          <a:noFill/>
          <a:prstDash val="solid"/>
        </a:ln>
      </spPr>
    </pic>
    <clientData/>
  </twoCellAnchor>
  <twoCellAnchor editAs="oneCell">
    <from>
      <col>3</col>
      <colOff>419100</colOff>
      <row>14</row>
      <rowOff>50800</rowOff>
    </from>
    <to>
      <col>3</col>
      <colOff>1377950</colOff>
      <row>14</row>
      <rowOff>393700</rowOff>
    </to>
    <pic macro="[0]!findNext_sheet">
      <nvPicPr>
        <cNvPr id="695967" name="Picture 6" descr="Next1.png"/>
        <cNvPicPr>
          <a:picLocks/>
        </cNvPicPr>
      </nvPicPr>
      <blipFill>
        <a:blip r:embed="rId2"/>
        <a:srcRect/>
        <a:stretch>
          <a:fillRect/>
        </a:stretch>
      </blipFill>
      <spPr bwMode="auto">
        <a:xfrm>
          <a:off x="6229350" y="4343400"/>
          <a:ext cx="958850" cy="342900"/>
        </a:xfrm>
        <a:prstGeom prst="rect">
          <avLst/>
        </a:prstGeom>
        <a:noFill/>
        <a:ln>
          <a:noFill/>
          <a:prstDash val="solid"/>
        </a:ln>
      </spPr>
    </pic>
    <clientData/>
  </twoCellAnchor>
  <twoCellAnchor editAs="oneCell">
    <from>
      <col>2</col>
      <colOff>1257300</colOff>
      <row>14</row>
      <rowOff>50800</rowOff>
    </from>
    <to>
      <col>3</col>
      <colOff>279400</colOff>
      <row>14</row>
      <rowOff>393700</rowOff>
    </to>
    <pic macro="[0]!findPrev_sheet">
      <nvPicPr>
        <cNvPr id="695968" name="Picture 7" descr="Prev1.png"/>
        <cNvPicPr>
          <a:picLocks/>
        </cNvPicPr>
      </nvPicPr>
      <blipFill>
        <a:blip r:embed="rId3"/>
        <a:srcRect/>
        <a:stretch>
          <a:fillRect/>
        </a:stretch>
      </blipFill>
      <spPr bwMode="auto">
        <a:xfrm>
          <a:off x="5130800" y="4343400"/>
          <a:ext cx="958850" cy="342900"/>
        </a:xfrm>
        <a:prstGeom prst="rect">
          <avLst/>
        </a:prstGeom>
        <a:noFill/>
        <a:ln>
          <a:noFill/>
          <a:prstDash val="solid"/>
        </a:ln>
      </spPr>
    </pic>
    <clientData/>
  </twoCellAnchor>
  <twoCellAnchor editAs="oneCell">
    <from>
      <col>2</col>
      <colOff>1847850</colOff>
      <row>5</row>
      <rowOff>146050</rowOff>
    </from>
    <to>
      <col>3</col>
      <colOff>869950</colOff>
      <row>7</row>
      <rowOff>63500</rowOff>
    </to>
    <pic macro="[0]!Sheet33.addRow_ProfitShare_ListS">
      <nvPicPr>
        <cNvPr id="695969" name="Picture 5" descr="ADD1.png"/>
        <cNvPicPr>
          <a:picLocks/>
        </cNvPicPr>
      </nvPicPr>
      <blipFill>
        <a:blip r:embed="rId4"/>
        <a:srcRect/>
        <a:stretch>
          <a:fillRect/>
        </a:stretch>
      </blipFill>
      <spPr bwMode="auto">
        <a:xfrm>
          <a:off x="5721350" y="1739900"/>
          <a:ext cx="958850" cy="336550"/>
        </a:xfrm>
        <a:prstGeom prst="rect">
          <avLst/>
        </a:prstGeom>
        <a:noFill/>
        <a:ln>
          <a:noFill/>
          <a:prstDash val="solid"/>
        </a:ln>
      </spPr>
    </pic>
    <clientData/>
  </twoCellAnchor>
</wsDr>
</file>

<file path=xl/drawings/drawing14.xml><?xml version="1.0" encoding="utf-8"?>
<wsDr xmlns:a="http://schemas.openxmlformats.org/drawingml/2006/main" xmlns:r="http://schemas.openxmlformats.org/officeDocument/2006/relationships" xmlns="http://schemas.openxmlformats.org/drawingml/2006/spreadsheetDrawing">
  <twoCellAnchor editAs="oneCell">
    <from>
      <col>2</col>
      <colOff>1778000</colOff>
      <row>5</row>
      <rowOff>69850</rowOff>
    </from>
    <to>
      <col>3</col>
      <colOff>800100</colOff>
      <row>5</row>
      <rowOff>406400</rowOff>
    </to>
    <pic macro="[0]!Sheet8.addRow_EstateTrust_ListS">
      <nvPicPr>
        <cNvPr id="687047" name="Picture 5" descr="ADD1.png"/>
        <cNvPicPr>
          <a:picLocks/>
        </cNvPicPr>
      </nvPicPr>
      <blipFill>
        <a:blip r:embed="rId1"/>
        <a:srcRect/>
        <a:stretch>
          <a:fillRect/>
        </a:stretch>
      </blipFill>
      <spPr bwMode="auto">
        <a:xfrm>
          <a:off x="5651500" y="1917700"/>
          <a:ext cx="958850" cy="336550"/>
        </a:xfrm>
        <a:prstGeom prst="rect">
          <avLst/>
        </a:prstGeom>
        <a:noFill/>
        <a:ln>
          <a:noFill/>
          <a:prstDash val="solid"/>
        </a:ln>
      </spPr>
    </pic>
    <clientData/>
  </twoCellAnchor>
  <twoCellAnchor editAs="oneCell">
    <from>
      <col>2</col>
      <colOff>1778000</colOff>
      <row>11</row>
      <rowOff>69850</rowOff>
    </from>
    <to>
      <col>3</col>
      <colOff>800100</colOff>
      <row>11</row>
      <rowOff>406400</rowOff>
    </to>
    <pic macro="[0]!Sheet8.addRow_EstateTrust_ListW">
      <nvPicPr>
        <cNvPr id="687048" name="Picture 5" descr="ADD1.png"/>
        <cNvPicPr>
          <a:picLocks/>
        </cNvPicPr>
      </nvPicPr>
      <blipFill>
        <a:blip r:embed="rId2"/>
        <a:srcRect/>
        <a:stretch>
          <a:fillRect/>
        </a:stretch>
      </blipFill>
      <spPr bwMode="auto">
        <a:xfrm>
          <a:off x="5651500" y="4241800"/>
          <a:ext cx="958850" cy="336550"/>
        </a:xfrm>
        <a:prstGeom prst="rect">
          <avLst/>
        </a:prstGeom>
        <a:noFill/>
        <a:ln>
          <a:noFill/>
          <a:prstDash val="solid"/>
        </a:ln>
      </spPr>
    </pic>
    <clientData/>
  </twoCellAnchor>
  <twoCellAnchor editAs="oneCell">
    <from>
      <col>3</col>
      <colOff>406400</colOff>
      <row>12</row>
      <rowOff>50800</rowOff>
    </from>
    <to>
      <col>3</col>
      <colOff>1365250</colOff>
      <row>12</row>
      <rowOff>393700</rowOff>
    </to>
    <pic macro="[0]!findNext_sheet">
      <nvPicPr>
        <cNvPr id="687049" name="Picture 6" descr="Next1.png"/>
        <cNvPicPr>
          <a:picLocks/>
        </cNvPicPr>
      </nvPicPr>
      <blipFill>
        <a:blip r:embed="rId3"/>
        <a:srcRect/>
        <a:stretch>
          <a:fillRect/>
        </a:stretch>
      </blipFill>
      <spPr bwMode="auto">
        <a:xfrm>
          <a:off x="6216650" y="4699000"/>
          <a:ext cx="958850" cy="342900"/>
        </a:xfrm>
        <a:prstGeom prst="rect">
          <avLst/>
        </a:prstGeom>
        <a:noFill/>
        <a:ln>
          <a:noFill/>
          <a:prstDash val="solid"/>
        </a:ln>
      </spPr>
    </pic>
    <clientData/>
  </twoCellAnchor>
  <twoCellAnchor editAs="oneCell">
    <from>
      <col>2</col>
      <colOff>1270000</colOff>
      <row>12</row>
      <rowOff>50800</rowOff>
    </from>
    <to>
      <col>3</col>
      <colOff>292100</colOff>
      <row>12</row>
      <rowOff>393700</rowOff>
    </to>
    <pic macro="[0]!findPrev_sheet">
      <nvPicPr>
        <cNvPr id="687050" name="Picture 7" descr="Prev1.png"/>
        <cNvPicPr>
          <a:picLocks/>
        </cNvPicPr>
      </nvPicPr>
      <blipFill>
        <a:blip r:embed="rId4"/>
        <a:srcRect/>
        <a:stretch>
          <a:fillRect/>
        </a:stretch>
      </blipFill>
      <spPr bwMode="auto">
        <a:xfrm>
          <a:off x="5143500" y="4699000"/>
          <a:ext cx="958850" cy="342900"/>
        </a:xfrm>
        <a:prstGeom prst="rect">
          <avLst/>
        </a:prstGeom>
        <a:noFill/>
        <a:ln>
          <a:noFill/>
          <a:prstDash val="solid"/>
        </a:ln>
      </spPr>
    </pic>
    <clientData/>
  </twoCellAnchor>
</wsDr>
</file>

<file path=xl/drawings/drawing15.xml><?xml version="1.0" encoding="utf-8"?>
<wsDr xmlns:a="http://schemas.openxmlformats.org/drawingml/2006/main" xmlns:r="http://schemas.openxmlformats.org/officeDocument/2006/relationships" xmlns="http://schemas.openxmlformats.org/drawingml/2006/spreadsheetDrawing">
  <twoCellAnchor editAs="oneCell">
    <from>
      <col>2</col>
      <colOff>1835150</colOff>
      <row>5</row>
      <rowOff>177800</rowOff>
    </from>
    <to>
      <col>3</col>
      <colOff>857250</colOff>
      <row>7</row>
      <rowOff>120650</rowOff>
    </to>
    <pic macro="[0]!Sheet13.addRow_CarBenefit_ListS">
      <nvPicPr>
        <cNvPr id="698997" name="Picture 5" descr="ADD1.png"/>
        <cNvPicPr>
          <a:picLocks/>
        </cNvPicPr>
      </nvPicPr>
      <blipFill>
        <a:blip r:embed="rId1"/>
        <a:srcRect/>
        <a:stretch>
          <a:fillRect/>
        </a:stretch>
      </blipFill>
      <spPr bwMode="auto">
        <a:xfrm>
          <a:off x="5708650" y="1562100"/>
          <a:ext cx="958850" cy="336550"/>
        </a:xfrm>
        <a:prstGeom prst="rect">
          <avLst/>
        </a:prstGeom>
        <a:noFill/>
        <a:ln>
          <a:noFill/>
          <a:prstDash val="solid"/>
        </a:ln>
      </spPr>
    </pic>
    <clientData/>
  </twoCellAnchor>
  <twoCellAnchor editAs="oneCell">
    <from>
      <col>2</col>
      <colOff>1873250</colOff>
      <row>13</row>
      <rowOff>76200</rowOff>
    </from>
    <to>
      <col>3</col>
      <colOff>895350</colOff>
      <row>13</row>
      <rowOff>419100</rowOff>
    </to>
    <pic macro="[0]!Sheet13.addRow_CarBenefit_ListW">
      <nvPicPr>
        <cNvPr id="698998" name="Picture 5" descr="ADD1.png"/>
        <cNvPicPr>
          <a:picLocks/>
        </cNvPicPr>
      </nvPicPr>
      <blipFill>
        <a:blip r:embed="rId2"/>
        <a:srcRect/>
        <a:stretch>
          <a:fillRect/>
        </a:stretch>
      </blipFill>
      <spPr bwMode="auto">
        <a:xfrm>
          <a:off x="5746750" y="3435350"/>
          <a:ext cx="958850" cy="342900"/>
        </a:xfrm>
        <a:prstGeom prst="rect">
          <avLst/>
        </a:prstGeom>
        <a:noFill/>
        <a:ln>
          <a:noFill/>
          <a:prstDash val="solid"/>
        </a:ln>
      </spPr>
    </pic>
    <clientData/>
  </twoCellAnchor>
  <twoCellAnchor editAs="oneCell">
    <from>
      <col>3</col>
      <colOff>438150</colOff>
      <row>14</row>
      <rowOff>19050</rowOff>
    </from>
    <to>
      <col>3</col>
      <colOff>1397000</colOff>
      <row>14</row>
      <rowOff>361950</rowOff>
    </to>
    <pic macro="[0]!findNext_sheet">
      <nvPicPr>
        <cNvPr id="698999" name="Picture 6" descr="Next1.png"/>
        <cNvPicPr>
          <a:picLocks/>
        </cNvPicPr>
      </nvPicPr>
      <blipFill>
        <a:blip r:embed="rId3"/>
        <a:srcRect/>
        <a:stretch>
          <a:fillRect/>
        </a:stretch>
      </blipFill>
      <spPr bwMode="auto">
        <a:xfrm>
          <a:off x="6248400" y="3854450"/>
          <a:ext cx="958850" cy="342900"/>
        </a:xfrm>
        <a:prstGeom prst="rect">
          <avLst/>
        </a:prstGeom>
        <a:noFill/>
        <a:ln>
          <a:noFill/>
          <a:prstDash val="solid"/>
        </a:ln>
      </spPr>
    </pic>
    <clientData/>
  </twoCellAnchor>
  <twoCellAnchor editAs="oneCell">
    <from>
      <col>2</col>
      <colOff>1295400</colOff>
      <row>14</row>
      <rowOff>19050</rowOff>
    </from>
    <to>
      <col>3</col>
      <colOff>317500</colOff>
      <row>14</row>
      <rowOff>361950</rowOff>
    </to>
    <pic macro="[0]!findPrev_sheet">
      <nvPicPr>
        <cNvPr id="699000" name="Picture 7" descr="Prev1.png"/>
        <cNvPicPr>
          <a:picLocks/>
        </cNvPicPr>
      </nvPicPr>
      <blipFill>
        <a:blip r:embed="rId4"/>
        <a:srcRect/>
        <a:stretch>
          <a:fillRect/>
        </a:stretch>
      </blipFill>
      <spPr bwMode="auto">
        <a:xfrm>
          <a:off x="5168900" y="3854450"/>
          <a:ext cx="958850" cy="342900"/>
        </a:xfrm>
        <a:prstGeom prst="rect">
          <avLst/>
        </a:prstGeom>
        <a:noFill/>
        <a:ln>
          <a:noFill/>
          <a:prstDash val="solid"/>
        </a:ln>
      </spPr>
    </pic>
    <clientData/>
  </twoCellAnchor>
</wsDr>
</file>

<file path=xl/drawings/drawing16.xml><?xml version="1.0" encoding="utf-8"?>
<wsDr xmlns:a="http://schemas.openxmlformats.org/drawingml/2006/main" xmlns:r="http://schemas.openxmlformats.org/officeDocument/2006/relationships" xmlns="http://schemas.openxmlformats.org/drawingml/2006/spreadsheetDrawing">
  <twoCellAnchor editAs="oneCell">
    <from>
      <col>2</col>
      <colOff>1714500</colOff>
      <row>17</row>
      <rowOff>76200</rowOff>
    </from>
    <to>
      <col>3</col>
      <colOff>736600</colOff>
      <row>17</row>
      <rowOff>419100</rowOff>
    </to>
    <pic macro="[0]!Sheet7.addRow_MortgageIntDtls_ListW">
      <nvPicPr>
        <cNvPr id="702036" name="Picture 5" descr="ADD1.png"/>
        <cNvPicPr>
          <a:picLocks/>
        </cNvPicPr>
      </nvPicPr>
      <blipFill>
        <a:blip r:embed="rId1"/>
        <a:srcRect/>
        <a:stretch>
          <a:fillRect/>
        </a:stretch>
      </blipFill>
      <spPr bwMode="auto">
        <a:xfrm>
          <a:off x="5588000" y="3498850"/>
          <a:ext cx="958850" cy="342900"/>
        </a:xfrm>
        <a:prstGeom prst="rect">
          <avLst/>
        </a:prstGeom>
        <a:noFill/>
        <a:ln>
          <a:noFill/>
          <a:prstDash val="solid"/>
        </a:ln>
      </spPr>
    </pic>
    <clientData/>
  </twoCellAnchor>
  <twoCellAnchor editAs="oneCell">
    <from>
      <col>3</col>
      <colOff>273050</colOff>
      <row>18</row>
      <rowOff>69850</rowOff>
    </from>
    <to>
      <col>3</col>
      <colOff>1231900</colOff>
      <row>18</row>
      <rowOff>412750</rowOff>
    </to>
    <pic macro="[0]!findNext_sheet">
      <nvPicPr>
        <cNvPr id="702037" name="Picture 6" descr="Next1.png"/>
        <cNvPicPr>
          <a:picLocks/>
        </cNvPicPr>
      </nvPicPr>
      <blipFill>
        <a:blip r:embed="rId2"/>
        <a:srcRect/>
        <a:stretch>
          <a:fillRect/>
        </a:stretch>
      </blipFill>
      <spPr bwMode="auto">
        <a:xfrm>
          <a:off x="6083300" y="3968750"/>
          <a:ext cx="958850" cy="342900"/>
        </a:xfrm>
        <a:prstGeom prst="rect">
          <avLst/>
        </a:prstGeom>
        <a:noFill/>
        <a:ln>
          <a:noFill/>
          <a:prstDash val="solid"/>
        </a:ln>
      </spPr>
    </pic>
    <clientData/>
  </twoCellAnchor>
  <twoCellAnchor editAs="oneCell">
    <from>
      <col>2</col>
      <colOff>1130300</colOff>
      <row>18</row>
      <rowOff>69850</rowOff>
    </from>
    <to>
      <col>3</col>
      <colOff>152400</colOff>
      <row>18</row>
      <rowOff>406400</rowOff>
    </to>
    <pic macro="[0]!findPrev_sheet">
      <nvPicPr>
        <cNvPr id="702038" name="Picture 7" descr="Prev1.png"/>
        <cNvPicPr>
          <a:picLocks/>
        </cNvPicPr>
      </nvPicPr>
      <blipFill>
        <a:blip r:embed="rId3"/>
        <a:srcRect/>
        <a:stretch>
          <a:fillRect/>
        </a:stretch>
      </blipFill>
      <spPr bwMode="auto">
        <a:xfrm>
          <a:off x="5003800" y="3968750"/>
          <a:ext cx="958850" cy="336550"/>
        </a:xfrm>
        <a:prstGeom prst="rect">
          <avLst/>
        </a:prstGeom>
        <a:noFill/>
        <a:ln>
          <a:noFill/>
          <a:prstDash val="solid"/>
        </a:ln>
      </spPr>
    </pic>
    <clientData/>
  </twoCellAnchor>
  <twoCellAnchor editAs="oneCell">
    <from>
      <col>2</col>
      <colOff>1644650</colOff>
      <row>7</row>
      <rowOff>120650</rowOff>
    </from>
    <to>
      <col>3</col>
      <colOff>666750</colOff>
      <row>9</row>
      <rowOff>44450</rowOff>
    </to>
    <pic macro="[0]!Sheet7.addRow_MortgageIntDtls_ListS">
      <nvPicPr>
        <cNvPr id="702039" name="Picture 5" descr="ADD1.png"/>
        <cNvPicPr>
          <a:picLocks/>
        </cNvPicPr>
      </nvPicPr>
      <blipFill>
        <a:blip r:embed="rId4"/>
        <a:srcRect/>
        <a:stretch>
          <a:fillRect/>
        </a:stretch>
      </blipFill>
      <spPr bwMode="auto">
        <a:xfrm>
          <a:off x="5518150" y="1517650"/>
          <a:ext cx="958850" cy="342900"/>
        </a:xfrm>
        <a:prstGeom prst="rect">
          <avLst/>
        </a:prstGeom>
        <a:noFill/>
        <a:ln>
          <a:noFill/>
          <a:prstDash val="solid"/>
        </a:ln>
      </spPr>
    </pic>
    <clientData/>
  </twoCellAnchor>
</wsDr>
</file>

<file path=xl/drawings/drawing17.xml><?xml version="1.0" encoding="utf-8"?>
<wsDr xmlns:a="http://schemas.openxmlformats.org/drawingml/2006/main" xmlns:r="http://schemas.openxmlformats.org/officeDocument/2006/relationships" xmlns="http://schemas.openxmlformats.org/drawingml/2006/spreadsheetDrawing">
  <twoCellAnchor editAs="oneCell">
    <from>
      <col>1</col>
      <colOff>1530350</colOff>
      <row>17</row>
      <rowOff>76200</rowOff>
    </from>
    <to>
      <col>2</col>
      <colOff>546100</colOff>
      <row>17</row>
      <rowOff>419100</rowOff>
    </to>
    <pic macro="[0]!Sheet10.addRow_HomeOwnershipSavingPlan_ListW">
      <nvPicPr>
        <cNvPr id="703060" name="Picture 5" descr="ADD1.png"/>
        <cNvPicPr>
          <a:picLocks/>
        </cNvPicPr>
      </nvPicPr>
      <blipFill>
        <a:blip r:embed="rId1"/>
        <a:srcRect/>
        <a:stretch>
          <a:fillRect/>
        </a:stretch>
      </blipFill>
      <spPr bwMode="auto">
        <a:xfrm>
          <a:off x="3467100" y="3498850"/>
          <a:ext cx="952500" cy="342900"/>
        </a:xfrm>
        <a:prstGeom prst="rect">
          <avLst/>
        </a:prstGeom>
        <a:noFill/>
        <a:ln>
          <a:noFill/>
          <a:prstDash val="solid"/>
        </a:ln>
      </spPr>
    </pic>
    <clientData/>
  </twoCellAnchor>
  <twoCellAnchor editAs="oneCell">
    <from>
      <col>2</col>
      <colOff>133350</colOff>
      <row>18</row>
      <rowOff>69850</rowOff>
    </from>
    <to>
      <col>2</col>
      <colOff>1092200</colOff>
      <row>18</row>
      <rowOff>412750</rowOff>
    </to>
    <pic macro="[0]!findNext_sheet">
      <nvPicPr>
        <cNvPr id="703061" name="Picture 6" descr="Next1.png"/>
        <cNvPicPr>
          <a:picLocks/>
        </cNvPicPr>
      </nvPicPr>
      <blipFill>
        <a:blip r:embed="rId2"/>
        <a:srcRect/>
        <a:stretch>
          <a:fillRect/>
        </a:stretch>
      </blipFill>
      <spPr bwMode="auto">
        <a:xfrm>
          <a:off x="4006850" y="3968750"/>
          <a:ext cx="958850" cy="342900"/>
        </a:xfrm>
        <a:prstGeom prst="rect">
          <avLst/>
        </a:prstGeom>
        <a:noFill/>
        <a:ln>
          <a:noFill/>
          <a:prstDash val="solid"/>
        </a:ln>
      </spPr>
    </pic>
    <clientData/>
  </twoCellAnchor>
  <twoCellAnchor editAs="oneCell">
    <from>
      <col>1</col>
      <colOff>939800</colOff>
      <row>18</row>
      <rowOff>69850</rowOff>
    </from>
    <to>
      <col>1</col>
      <colOff>1898650</colOff>
      <row>18</row>
      <rowOff>412750</rowOff>
    </to>
    <pic macro="[0]!findPrev_sheet">
      <nvPicPr>
        <cNvPr id="703062" name="Picture 7" descr="Prev1.png"/>
        <cNvPicPr>
          <a:picLocks/>
        </cNvPicPr>
      </nvPicPr>
      <blipFill>
        <a:blip r:embed="rId3"/>
        <a:srcRect/>
        <a:stretch>
          <a:fillRect/>
        </a:stretch>
      </blipFill>
      <spPr bwMode="auto">
        <a:xfrm>
          <a:off x="2876550" y="3968750"/>
          <a:ext cx="958850" cy="342900"/>
        </a:xfrm>
        <a:prstGeom prst="rect">
          <avLst/>
        </a:prstGeom>
        <a:noFill/>
        <a:ln>
          <a:noFill/>
          <a:prstDash val="solid"/>
        </a:ln>
      </spPr>
    </pic>
    <clientData/>
  </twoCellAnchor>
  <twoCellAnchor editAs="oneCell">
    <from>
      <col>1</col>
      <colOff>1555750</colOff>
      <row>7</row>
      <rowOff>152400</rowOff>
    </from>
    <to>
      <col>2</col>
      <colOff>577850</colOff>
      <row>9</row>
      <rowOff>76200</rowOff>
    </to>
    <pic macro="[0]!Sheet10.addRow_HomeOwnershipSavingPlan_ListS">
      <nvPicPr>
        <cNvPr id="703063" name="Picture 5" descr="ADD1.png"/>
        <cNvPicPr>
          <a:picLocks/>
        </cNvPicPr>
      </nvPicPr>
      <blipFill>
        <a:blip r:embed="rId4"/>
        <a:srcRect/>
        <a:stretch>
          <a:fillRect/>
        </a:stretch>
      </blipFill>
      <spPr bwMode="auto">
        <a:xfrm>
          <a:off x="3492500" y="1549400"/>
          <a:ext cx="958850" cy="342900"/>
        </a:xfrm>
        <a:prstGeom prst="rect">
          <avLst/>
        </a:prstGeom>
        <a:noFill/>
        <a:ln>
          <a:noFill/>
          <a:prstDash val="solid"/>
        </a:ln>
      </spPr>
    </pic>
    <clientData/>
  </twoCellAnchor>
</wsDr>
</file>

<file path=xl/drawings/drawing18.xml><?xml version="1.0" encoding="utf-8"?>
<wsDr xmlns:a="http://schemas.openxmlformats.org/drawingml/2006/main" xmlns:r="http://schemas.openxmlformats.org/officeDocument/2006/relationships" xmlns="http://schemas.openxmlformats.org/drawingml/2006/spreadsheetDrawing">
  <twoCellAnchor editAs="oneCell">
    <from>
      <col>3</col>
      <colOff>1746250</colOff>
      <row>13</row>
      <rowOff>101600</rowOff>
    </from>
    <to>
      <col>4</col>
      <colOff>768350</colOff>
      <row>13</row>
      <rowOff>450850</rowOff>
    </to>
    <pic macro="[0]!Sheet15.addRow_InsReliefDtls_ListW">
      <nvPicPr>
        <cNvPr id="696974" name="Picture 5" descr="ADD1.png"/>
        <cNvPicPr>
          <a:picLocks/>
        </cNvPicPr>
      </nvPicPr>
      <blipFill>
        <a:blip r:embed="rId1"/>
        <a:srcRect/>
        <a:stretch>
          <a:fillRect/>
        </a:stretch>
      </blipFill>
      <spPr bwMode="auto">
        <a:xfrm>
          <a:off x="7556500" y="3892550"/>
          <a:ext cx="958850" cy="349250"/>
        </a:xfrm>
        <a:prstGeom prst="rect">
          <avLst/>
        </a:prstGeom>
        <a:noFill/>
        <a:ln>
          <a:noFill/>
          <a:prstDash val="solid"/>
        </a:ln>
      </spPr>
    </pic>
    <clientData/>
  </twoCellAnchor>
  <twoCellAnchor editAs="oneCell">
    <from>
      <col>4</col>
      <colOff>368300</colOff>
      <row>14</row>
      <rowOff>82550</rowOff>
    </from>
    <to>
      <col>4</col>
      <colOff>1327150</colOff>
      <row>14</row>
      <rowOff>425450</rowOff>
    </to>
    <pic macro="[0]!findNext_sheet">
      <nvPicPr>
        <cNvPr id="696975" name="Picture 6" descr="Next1.png"/>
        <cNvPicPr>
          <a:picLocks/>
        </cNvPicPr>
      </nvPicPr>
      <blipFill>
        <a:blip r:embed="rId2"/>
        <a:srcRect/>
        <a:stretch>
          <a:fillRect/>
        </a:stretch>
      </blipFill>
      <spPr bwMode="auto">
        <a:xfrm>
          <a:off x="8115300" y="4349750"/>
          <a:ext cx="958850" cy="342900"/>
        </a:xfrm>
        <a:prstGeom prst="rect">
          <avLst/>
        </a:prstGeom>
        <a:noFill/>
        <a:ln>
          <a:noFill/>
          <a:prstDash val="solid"/>
        </a:ln>
      </spPr>
    </pic>
    <clientData/>
  </twoCellAnchor>
  <twoCellAnchor editAs="oneCell">
    <from>
      <col>3</col>
      <colOff>1155700</colOff>
      <row>14</row>
      <rowOff>82550</rowOff>
    </from>
    <to>
      <col>4</col>
      <colOff>177800</colOff>
      <row>14</row>
      <rowOff>425450</rowOff>
    </to>
    <pic macro="[0]!findPrev_sheet">
      <nvPicPr>
        <cNvPr id="696976" name="Picture 7" descr="Prev1.png"/>
        <cNvPicPr>
          <a:picLocks/>
        </cNvPicPr>
      </nvPicPr>
      <blipFill>
        <a:blip r:embed="rId3"/>
        <a:srcRect/>
        <a:stretch>
          <a:fillRect/>
        </a:stretch>
      </blipFill>
      <spPr bwMode="auto">
        <a:xfrm>
          <a:off x="6965950" y="4349750"/>
          <a:ext cx="958850" cy="342900"/>
        </a:xfrm>
        <a:prstGeom prst="rect">
          <avLst/>
        </a:prstGeom>
        <a:noFill/>
        <a:ln>
          <a:noFill/>
          <a:prstDash val="solid"/>
        </a:ln>
      </spPr>
    </pic>
    <clientData/>
  </twoCellAnchor>
  <twoCellAnchor editAs="oneCell">
    <from>
      <col>3</col>
      <colOff>1663700</colOff>
      <row>5</row>
      <rowOff>120650</rowOff>
    </from>
    <to>
      <col>4</col>
      <colOff>685800</colOff>
      <row>7</row>
      <rowOff>44450</rowOff>
    </to>
    <pic macro="[0]!Sheet15.addRow_InsReliefDtls_ListS">
      <nvPicPr>
        <cNvPr id="696977" name="Picture 5" descr="ADD1.png"/>
        <cNvPicPr>
          <a:picLocks/>
        </cNvPicPr>
      </nvPicPr>
      <blipFill>
        <a:blip r:embed="rId4"/>
        <a:srcRect/>
        <a:stretch>
          <a:fillRect/>
        </a:stretch>
      </blipFill>
      <spPr bwMode="auto">
        <a:xfrm>
          <a:off x="7473950" y="1701800"/>
          <a:ext cx="958850" cy="342900"/>
        </a:xfrm>
        <a:prstGeom prst="rect">
          <avLst/>
        </a:prstGeom>
        <a:noFill/>
        <a:ln>
          <a:noFill/>
          <a:prstDash val="solid"/>
        </a:ln>
      </spPr>
    </pic>
    <clientData/>
  </twoCellAnchor>
</wsDr>
</file>

<file path=xl/drawings/drawing19.xml><?xml version="1.0" encoding="utf-8"?>
<wsDr xmlns:a="http://schemas.openxmlformats.org/drawingml/2006/main" xmlns:r="http://schemas.openxmlformats.org/officeDocument/2006/relationships" xmlns="http://schemas.openxmlformats.org/drawingml/2006/spreadsheetDrawing">
  <twoCellAnchor editAs="oneCell">
    <from>
      <col>2</col>
      <colOff>1733550</colOff>
      <row>13</row>
      <rowOff>82550</rowOff>
    </from>
    <to>
      <col>3</col>
      <colOff>755650</colOff>
      <row>13</row>
      <rowOff>425450</rowOff>
    </to>
    <pic macro="[0]!Sheet11.addRow_PayeDed_ListW">
      <nvPicPr>
        <cNvPr id="697991" name="Picture 5" descr="ADD1.png"/>
        <cNvPicPr>
          <a:picLocks/>
        </cNvPicPr>
      </nvPicPr>
      <blipFill>
        <a:blip r:embed="rId1"/>
        <a:srcRect/>
        <a:stretch>
          <a:fillRect/>
        </a:stretch>
      </blipFill>
      <spPr bwMode="auto">
        <a:xfrm>
          <a:off x="5607050" y="4254500"/>
          <a:ext cx="958850" cy="342900"/>
        </a:xfrm>
        <a:prstGeom prst="rect">
          <avLst/>
        </a:prstGeom>
        <a:noFill/>
        <a:ln>
          <a:noFill/>
          <a:prstDash val="solid"/>
        </a:ln>
      </spPr>
    </pic>
    <clientData/>
  </twoCellAnchor>
  <twoCellAnchor editAs="oneCell">
    <from>
      <col>3</col>
      <colOff>419100</colOff>
      <row>14</row>
      <rowOff>57150</rowOff>
    </from>
    <to>
      <col>3</col>
      <colOff>1377950</colOff>
      <row>14</row>
      <rowOff>400050</rowOff>
    </to>
    <pic macro="[0]!findNext_sheet">
      <nvPicPr>
        <cNvPr id="697992" name="Picture 6" descr="Next1.png"/>
        <cNvPicPr>
          <a:picLocks/>
        </cNvPicPr>
      </nvPicPr>
      <blipFill>
        <a:blip r:embed="rId2"/>
        <a:srcRect/>
        <a:stretch>
          <a:fillRect/>
        </a:stretch>
      </blipFill>
      <spPr bwMode="auto">
        <a:xfrm>
          <a:off x="6229350" y="4705350"/>
          <a:ext cx="958850" cy="342900"/>
        </a:xfrm>
        <a:prstGeom prst="rect">
          <avLst/>
        </a:prstGeom>
        <a:noFill/>
        <a:ln>
          <a:noFill/>
          <a:prstDash val="solid"/>
        </a:ln>
      </spPr>
    </pic>
    <clientData/>
  </twoCellAnchor>
  <twoCellAnchor editAs="oneCell">
    <from>
      <col>2</col>
      <colOff>1238250</colOff>
      <row>14</row>
      <rowOff>57150</rowOff>
    </from>
    <to>
      <col>3</col>
      <colOff>260350</colOff>
      <row>14</row>
      <rowOff>400050</rowOff>
    </to>
    <pic macro="[0]!findPrev_sheet">
      <nvPicPr>
        <cNvPr id="697993" name="Picture 7" descr="Prev1.png"/>
        <cNvPicPr>
          <a:picLocks/>
        </cNvPicPr>
      </nvPicPr>
      <blipFill>
        <a:blip r:embed="rId3"/>
        <a:srcRect/>
        <a:stretch>
          <a:fillRect/>
        </a:stretch>
      </blipFill>
      <spPr bwMode="auto">
        <a:xfrm>
          <a:off x="5111750" y="4705350"/>
          <a:ext cx="958850" cy="342900"/>
        </a:xfrm>
        <a:prstGeom prst="rect">
          <avLst/>
        </a:prstGeom>
        <a:noFill/>
        <a:ln>
          <a:noFill/>
          <a:prstDash val="solid"/>
        </a:ln>
      </spPr>
    </pic>
    <clientData/>
  </twoCellAnchor>
  <twoCellAnchor editAs="oneCell">
    <from>
      <col>2</col>
      <colOff>1638300</colOff>
      <row>5</row>
      <rowOff>120650</rowOff>
    </from>
    <to>
      <col>3</col>
      <colOff>660400</colOff>
      <row>7</row>
      <rowOff>63500</rowOff>
    </to>
    <pic macro="[0]!Sheet11.addRow_PayeDed_ListS">
      <nvPicPr>
        <cNvPr id="697994" name="Picture 5" descr="ADD1.png"/>
        <cNvPicPr>
          <a:picLocks/>
        </cNvPicPr>
      </nvPicPr>
      <blipFill>
        <a:blip r:embed="rId4"/>
        <a:srcRect/>
        <a:stretch>
          <a:fillRect/>
        </a:stretch>
      </blipFill>
      <spPr bwMode="auto">
        <a:xfrm>
          <a:off x="5511800" y="1911350"/>
          <a:ext cx="958850" cy="336550"/>
        </a:xfrm>
        <a:prstGeom prst="rect">
          <avLst/>
        </a:prstGeom>
        <a:noFill/>
        <a:ln>
          <a:noFill/>
          <a:prstDash val="solid"/>
        </a:ln>
      </spPr>
    </pic>
    <clientData/>
  </twoCellAnchor>
</wsDr>
</file>

<file path=xl/drawings/drawing20.xml><?xml version="1.0" encoding="utf-8"?>
<wsDr xmlns:a="http://schemas.openxmlformats.org/drawingml/2006/main" xmlns:r="http://schemas.openxmlformats.org/officeDocument/2006/relationships" xmlns="http://schemas.openxmlformats.org/drawingml/2006/spreadsheetDrawing">
  <twoCellAnchor editAs="oneCell">
    <from>
      <col>1</col>
      <colOff>711200</colOff>
      <row>13</row>
      <rowOff>76200</rowOff>
    </from>
    <to>
      <col>1</col>
      <colOff>1670050</colOff>
      <row>13</row>
      <rowOff>419100</rowOff>
    </to>
    <pic macro="[0]!Sheet4.addRow_InstallmentTax_ListW">
      <nvPicPr>
        <cNvPr id="704084" name="Picture 5" descr="ADD1.png"/>
        <cNvPicPr>
          <a:picLocks/>
        </cNvPicPr>
      </nvPicPr>
      <blipFill>
        <a:blip r:embed="rId1"/>
        <a:srcRect/>
        <a:stretch>
          <a:fillRect/>
        </a:stretch>
      </blipFill>
      <spPr bwMode="auto">
        <a:xfrm>
          <a:off x="2647950" y="3594100"/>
          <a:ext cx="958850" cy="342900"/>
        </a:xfrm>
        <a:prstGeom prst="rect">
          <avLst/>
        </a:prstGeom>
        <a:noFill/>
        <a:ln>
          <a:noFill/>
          <a:prstDash val="solid"/>
        </a:ln>
      </spPr>
    </pic>
    <clientData/>
  </twoCellAnchor>
  <twoCellAnchor editAs="oneCell">
    <from>
      <col>1</col>
      <colOff>666750</colOff>
      <row>5</row>
      <rowOff>196850</rowOff>
    </from>
    <to>
      <col>1</col>
      <colOff>1625600</colOff>
      <row>7</row>
      <rowOff>69850</rowOff>
    </to>
    <pic macro="[0]!Sheet4.addRow_InstallmentTax_ListS">
      <nvPicPr>
        <cNvPr id="704085" name="Picture 5" descr="ADD1.png"/>
        <cNvPicPr>
          <a:picLocks/>
        </cNvPicPr>
      </nvPicPr>
      <blipFill>
        <a:blip r:embed="rId2"/>
        <a:srcRect/>
        <a:stretch>
          <a:fillRect/>
        </a:stretch>
      </blipFill>
      <spPr bwMode="auto">
        <a:xfrm>
          <a:off x="2603500" y="1593850"/>
          <a:ext cx="958850" cy="342900"/>
        </a:xfrm>
        <a:prstGeom prst="rect">
          <avLst/>
        </a:prstGeom>
        <a:noFill/>
        <a:ln>
          <a:noFill/>
          <a:prstDash val="solid"/>
        </a:ln>
      </spPr>
    </pic>
    <clientData/>
  </twoCellAnchor>
  <twoCellAnchor editAs="oneCell">
    <from>
      <col>1</col>
      <colOff>1206500</colOff>
      <row>14</row>
      <rowOff>50800</rowOff>
    </from>
    <to>
      <col>2</col>
      <colOff>228600</colOff>
      <row>14</row>
      <rowOff>393700</rowOff>
    </to>
    <pic macro="[0]!findNext_sheet">
      <nvPicPr>
        <cNvPr id="704086" name="Picture 6" descr="Next1.png"/>
        <cNvPicPr>
          <a:picLocks/>
        </cNvPicPr>
      </nvPicPr>
      <blipFill>
        <a:blip r:embed="rId3"/>
        <a:srcRect/>
        <a:stretch>
          <a:fillRect/>
        </a:stretch>
      </blipFill>
      <spPr bwMode="auto">
        <a:xfrm>
          <a:off x="3143250" y="4044950"/>
          <a:ext cx="958850" cy="342900"/>
        </a:xfrm>
        <a:prstGeom prst="rect">
          <avLst/>
        </a:prstGeom>
        <a:noFill/>
        <a:ln>
          <a:noFill/>
          <a:prstDash val="solid"/>
        </a:ln>
      </spPr>
    </pic>
    <clientData/>
  </twoCellAnchor>
  <twoCellAnchor editAs="oneCell">
    <from>
      <col>1</col>
      <colOff>120650</colOff>
      <row>14</row>
      <rowOff>50800</rowOff>
    </from>
    <to>
      <col>1</col>
      <colOff>1079500</colOff>
      <row>14</row>
      <rowOff>393700</rowOff>
    </to>
    <pic macro="[0]!findPrev_sheet">
      <nvPicPr>
        <cNvPr id="704087" name="Picture 7" descr="Prev1.png"/>
        <cNvPicPr>
          <a:picLocks/>
        </cNvPicPr>
      </nvPicPr>
      <blipFill>
        <a:blip r:embed="rId4"/>
        <a:srcRect/>
        <a:stretch>
          <a:fillRect/>
        </a:stretch>
      </blipFill>
      <spPr bwMode="auto">
        <a:xfrm>
          <a:off x="2057400" y="4044950"/>
          <a:ext cx="958850" cy="342900"/>
        </a:xfrm>
        <a:prstGeom prst="rect">
          <avLst/>
        </a:prstGeom>
        <a:noFill/>
        <a:ln>
          <a:noFill/>
          <a:prstDash val="solid"/>
        </a:ln>
      </spPr>
    </pic>
    <clientData/>
  </twoCellAnchor>
</wsDr>
</file>

<file path=xl/drawings/drawing21.xml><?xml version="1.0" encoding="utf-8"?>
<wsDr xmlns:a="http://schemas.openxmlformats.org/drawingml/2006/main" xmlns:r="http://schemas.openxmlformats.org/officeDocument/2006/relationships" xmlns="http://schemas.openxmlformats.org/drawingml/2006/spreadsheetDrawing">
  <twoCellAnchor editAs="oneCell">
    <from>
      <col>2</col>
      <colOff>6350</colOff>
      <row>13</row>
      <rowOff>76200</rowOff>
    </from>
    <to>
      <col>2</col>
      <colOff>965200</colOff>
      <row>13</row>
      <rowOff>419100</rowOff>
    </to>
    <pic macro="[0]!Sheet36.addRow_WithHolding_ListW">
      <nvPicPr>
        <cNvPr id="688030" name="Picture 5" descr="ADD1.png"/>
        <cNvPicPr>
          <a:picLocks/>
        </cNvPicPr>
      </nvPicPr>
      <blipFill>
        <a:blip r:embed="rId1"/>
        <a:srcRect/>
        <a:stretch>
          <a:fillRect/>
        </a:stretch>
      </blipFill>
      <spPr bwMode="auto">
        <a:xfrm>
          <a:off x="3879850" y="3524250"/>
          <a:ext cx="958850" cy="342900"/>
        </a:xfrm>
        <a:prstGeom prst="rect">
          <avLst/>
        </a:prstGeom>
        <a:noFill/>
        <a:ln>
          <a:noFill/>
          <a:prstDash val="solid"/>
        </a:ln>
      </spPr>
    </pic>
    <clientData/>
  </twoCellAnchor>
  <twoCellAnchor editAs="oneCell">
    <from>
      <col>2</col>
      <colOff>1079500</colOff>
      <row>14</row>
      <rowOff>76200</rowOff>
    </from>
    <to>
      <col>3</col>
      <colOff>101600</colOff>
      <row>14</row>
      <rowOff>419100</rowOff>
    </to>
    <pic macro="[0]!findNext_sheet">
      <nvPicPr>
        <cNvPr id="688031" name="Picture 6" descr="Next1.png"/>
        <cNvPicPr>
          <a:picLocks/>
        </cNvPicPr>
      </nvPicPr>
      <blipFill>
        <a:blip r:embed="rId2"/>
        <a:srcRect/>
        <a:stretch>
          <a:fillRect/>
        </a:stretch>
      </blipFill>
      <spPr bwMode="auto">
        <a:xfrm>
          <a:off x="4953000" y="4000500"/>
          <a:ext cx="958850" cy="342900"/>
        </a:xfrm>
        <a:prstGeom prst="rect">
          <avLst/>
        </a:prstGeom>
        <a:noFill/>
        <a:ln>
          <a:noFill/>
          <a:prstDash val="solid"/>
        </a:ln>
      </spPr>
    </pic>
    <clientData/>
  </twoCellAnchor>
  <twoCellAnchor editAs="oneCell">
    <from>
      <col>1</col>
      <colOff>1930400</colOff>
      <row>14</row>
      <rowOff>76200</rowOff>
    </from>
    <to>
      <col>2</col>
      <colOff>946150</colOff>
      <row>14</row>
      <rowOff>419100</rowOff>
    </to>
    <pic macro="[0]!findPrev_sheet">
      <nvPicPr>
        <cNvPr id="688032" name="Picture 7" descr="Prev1.png"/>
        <cNvPicPr>
          <a:picLocks/>
        </cNvPicPr>
      </nvPicPr>
      <blipFill>
        <a:blip r:embed="rId3"/>
        <a:srcRect/>
        <a:stretch>
          <a:fillRect/>
        </a:stretch>
      </blipFill>
      <spPr bwMode="auto">
        <a:xfrm>
          <a:off x="3867150" y="4000500"/>
          <a:ext cx="952500" cy="342900"/>
        </a:xfrm>
        <a:prstGeom prst="rect">
          <avLst/>
        </a:prstGeom>
        <a:noFill/>
        <a:ln>
          <a:noFill/>
          <a:prstDash val="solid"/>
        </a:ln>
      </spPr>
    </pic>
    <clientData/>
  </twoCellAnchor>
  <twoCellAnchor editAs="oneCell">
    <from>
      <col>1</col>
      <colOff>1917700</colOff>
      <row>5</row>
      <rowOff>146050</rowOff>
    </from>
    <to>
      <col>2</col>
      <colOff>939800</colOff>
      <row>7</row>
      <rowOff>101600</rowOff>
    </to>
    <pic macro="[0]!Sheet36.addRow_WithHolding_ListS">
      <nvPicPr>
        <cNvPr id="688033" name="Picture 5" descr="ADD1.png"/>
        <cNvPicPr>
          <a:picLocks/>
        </cNvPicPr>
      </nvPicPr>
      <blipFill>
        <a:blip r:embed="rId4"/>
        <a:srcRect/>
        <a:stretch>
          <a:fillRect/>
        </a:stretch>
      </blipFill>
      <spPr bwMode="auto">
        <a:xfrm>
          <a:off x="3854450" y="1543050"/>
          <a:ext cx="958850" cy="336550"/>
        </a:xfrm>
        <a:prstGeom prst="rect">
          <avLst/>
        </a:prstGeom>
        <a:noFill/>
        <a:ln>
          <a:noFill/>
          <a:prstDash val="solid"/>
        </a:ln>
      </spPr>
    </pic>
    <clientData/>
  </twoCellAnchor>
</wsDr>
</file>

<file path=xl/drawings/drawing22.xml><?xml version="1.0" encoding="utf-8"?>
<wsDr xmlns:a="http://schemas.openxmlformats.org/drawingml/2006/main" xmlns:r="http://schemas.openxmlformats.org/officeDocument/2006/relationships" xmlns="http://schemas.openxmlformats.org/drawingml/2006/spreadsheetDrawing">
  <twoCellAnchor editAs="oneCell">
    <from>
      <col>2</col>
      <colOff>1111250</colOff>
      <row>13</row>
      <rowOff>76200</rowOff>
    </from>
    <to>
      <col>3</col>
      <colOff>133350</colOff>
      <row>13</row>
      <rowOff>419100</rowOff>
    </to>
    <pic macro="[0]!Sheet35.addRow_VehicleAdvTaxPaid_ListW">
      <nvPicPr>
        <cNvPr id="690056" name="Picture 5" descr="ADD1.png"/>
        <cNvPicPr>
          <a:picLocks/>
        </cNvPicPr>
      </nvPicPr>
      <blipFill>
        <a:blip r:embed="rId1"/>
        <a:srcRect/>
        <a:stretch>
          <a:fillRect/>
        </a:stretch>
      </blipFill>
      <spPr bwMode="auto">
        <a:xfrm>
          <a:off x="4984750" y="3441700"/>
          <a:ext cx="958850" cy="342900"/>
        </a:xfrm>
        <a:prstGeom prst="rect">
          <avLst/>
        </a:prstGeom>
        <a:noFill/>
        <a:ln>
          <a:noFill/>
          <a:prstDash val="solid"/>
        </a:ln>
      </spPr>
    </pic>
    <clientData/>
  </twoCellAnchor>
  <twoCellAnchor editAs="oneCell">
    <from>
      <col>3</col>
      <colOff>247650</colOff>
      <row>14</row>
      <rowOff>50800</rowOff>
    </from>
    <to>
      <col>3</col>
      <colOff>1206500</colOff>
      <row>14</row>
      <rowOff>393700</rowOff>
    </to>
    <pic macro="[0]!findNext_sheet">
      <nvPicPr>
        <cNvPr id="690057" name="Picture 6" descr="Next1.png"/>
        <cNvPicPr>
          <a:picLocks/>
        </cNvPicPr>
      </nvPicPr>
      <blipFill>
        <a:blip r:embed="rId2"/>
        <a:srcRect/>
        <a:stretch>
          <a:fillRect/>
        </a:stretch>
      </blipFill>
      <spPr bwMode="auto">
        <a:xfrm>
          <a:off x="6057900" y="3892550"/>
          <a:ext cx="958850" cy="342900"/>
        </a:xfrm>
        <a:prstGeom prst="rect">
          <avLst/>
        </a:prstGeom>
        <a:noFill/>
        <a:ln>
          <a:noFill/>
          <a:prstDash val="solid"/>
        </a:ln>
      </spPr>
    </pic>
    <clientData/>
  </twoCellAnchor>
  <twoCellAnchor editAs="oneCell">
    <from>
      <col>2</col>
      <colOff>1098550</colOff>
      <row>14</row>
      <rowOff>50800</rowOff>
    </from>
    <to>
      <col>3</col>
      <colOff>120650</colOff>
      <row>14</row>
      <rowOff>393700</rowOff>
    </to>
    <pic macro="[0]!findPrev_sheet">
      <nvPicPr>
        <cNvPr id="690058" name="Picture 7" descr="Prev1.png"/>
        <cNvPicPr>
          <a:picLocks/>
        </cNvPicPr>
      </nvPicPr>
      <blipFill>
        <a:blip r:embed="rId3"/>
        <a:srcRect/>
        <a:stretch>
          <a:fillRect/>
        </a:stretch>
      </blipFill>
      <spPr bwMode="auto">
        <a:xfrm>
          <a:off x="4972050" y="3892550"/>
          <a:ext cx="958850" cy="342900"/>
        </a:xfrm>
        <a:prstGeom prst="rect">
          <avLst/>
        </a:prstGeom>
        <a:noFill/>
        <a:ln>
          <a:noFill/>
          <a:prstDash val="solid"/>
        </a:ln>
      </spPr>
    </pic>
    <clientData/>
  </twoCellAnchor>
  <twoCellAnchor editAs="oneCell">
    <from>
      <col>2</col>
      <colOff>1130300</colOff>
      <row>5</row>
      <rowOff>133350</rowOff>
    </from>
    <to>
      <col>3</col>
      <colOff>152400</colOff>
      <row>7</row>
      <rowOff>95250</rowOff>
    </to>
    <pic macro="[0]!Sheet35.addRow_VehicleAdvTaxPaid_ListS">
      <nvPicPr>
        <cNvPr id="690059" name="Picture 5" descr="ADD1.png"/>
        <cNvPicPr>
          <a:picLocks/>
        </cNvPicPr>
      </nvPicPr>
      <blipFill>
        <a:blip r:embed="rId4"/>
        <a:srcRect/>
        <a:stretch>
          <a:fillRect/>
        </a:stretch>
      </blipFill>
      <spPr bwMode="auto">
        <a:xfrm>
          <a:off x="5003800" y="1530350"/>
          <a:ext cx="958850" cy="342900"/>
        </a:xfrm>
        <a:prstGeom prst="rect">
          <avLst/>
        </a:prstGeom>
        <a:noFill/>
        <a:ln>
          <a:noFill/>
          <a:prstDash val="solid"/>
        </a:ln>
      </spPr>
    </pic>
    <clientData/>
  </twoCellAnchor>
</wsDr>
</file>

<file path=xl/drawings/drawing23.xml><?xml version="1.0" encoding="utf-8"?>
<wsDr xmlns:a="http://schemas.openxmlformats.org/drawingml/2006/main" xmlns:r="http://schemas.openxmlformats.org/officeDocument/2006/relationships" xmlns="http://schemas.openxmlformats.org/drawingml/2006/spreadsheetDrawing">
  <twoCellAnchor editAs="oneCell">
    <from>
      <col>1</col>
      <colOff>577850</colOff>
      <row>33</row>
      <rowOff>101600</rowOff>
    </from>
    <to>
      <col>1</col>
      <colOff>1536700</colOff>
      <row>33</row>
      <rowOff>444500</rowOff>
    </to>
    <pic macro="[0]!Sheet41.addRow_DtlsIncomePaidSelfAst_ListW">
      <nvPicPr>
        <cNvPr id="714882" name="Picture 5" descr="ADD1.png"/>
        <cNvPicPr>
          <a:picLocks/>
        </cNvPicPr>
      </nvPicPr>
      <blipFill>
        <a:blip r:embed="rId1"/>
        <a:srcRect/>
        <a:stretch>
          <a:fillRect/>
        </a:stretch>
      </blipFill>
      <spPr bwMode="auto">
        <a:xfrm>
          <a:off x="2514600" y="8991600"/>
          <a:ext cx="958850" cy="342900"/>
        </a:xfrm>
        <a:prstGeom prst="rect">
          <avLst/>
        </a:prstGeom>
        <a:noFill/>
        <a:ln>
          <a:noFill/>
          <a:prstDash val="solid"/>
        </a:ln>
      </spPr>
    </pic>
    <clientData/>
  </twoCellAnchor>
  <twoCellAnchor editAs="oneCell">
    <from>
      <col>0</col>
      <colOff>1917700</colOff>
      <row>34</row>
      <rowOff>69850</rowOff>
    </from>
    <to>
      <col>1</col>
      <colOff>939800</colOff>
      <row>34</row>
      <rowOff>406400</rowOff>
    </to>
    <pic macro="[0]!findPrev_sheet">
      <nvPicPr>
        <cNvPr id="714883" name="Picture 7" descr="Prev1.png"/>
        <cNvPicPr>
          <a:picLocks/>
        </cNvPicPr>
      </nvPicPr>
      <blipFill>
        <a:blip r:embed="rId2"/>
        <a:srcRect/>
        <a:stretch>
          <a:fillRect/>
        </a:stretch>
      </blipFill>
      <spPr bwMode="auto">
        <a:xfrm>
          <a:off x="1917700" y="9436100"/>
          <a:ext cx="958850" cy="336550"/>
        </a:xfrm>
        <a:prstGeom prst="rect">
          <avLst/>
        </a:prstGeom>
        <a:noFill/>
        <a:ln>
          <a:noFill/>
          <a:prstDash val="solid"/>
        </a:ln>
      </spPr>
    </pic>
    <clientData/>
  </twoCellAnchor>
  <twoCellAnchor editAs="oneCell">
    <from>
      <col>1</col>
      <colOff>546100</colOff>
      <row>6</row>
      <rowOff>107950</rowOff>
    </from>
    <to>
      <col>1</col>
      <colOff>1504950</colOff>
      <row>8</row>
      <rowOff>76200</rowOff>
    </to>
    <pic macro="[0]!Sheet41.addRow_DtlsIncomePaidAdvance_ListS">
      <nvPicPr>
        <cNvPr id="714884" name="Picture 5" descr="ADD1.png"/>
        <cNvPicPr>
          <a:picLocks/>
        </cNvPicPr>
      </nvPicPr>
      <blipFill>
        <a:blip r:embed="rId3"/>
        <a:srcRect/>
        <a:stretch>
          <a:fillRect/>
        </a:stretch>
      </blipFill>
      <spPr bwMode="auto">
        <a:xfrm>
          <a:off x="2482850" y="2000250"/>
          <a:ext cx="958850" cy="336550"/>
        </a:xfrm>
        <a:prstGeom prst="rect">
          <avLst/>
        </a:prstGeom>
        <a:noFill/>
        <a:ln>
          <a:noFill/>
          <a:prstDash val="solid"/>
        </a:ln>
      </spPr>
    </pic>
    <clientData/>
  </twoCellAnchor>
  <twoCellAnchor editAs="oneCell">
    <from>
      <col>1</col>
      <colOff>1149350</colOff>
      <row>34</row>
      <rowOff>57150</rowOff>
    </from>
    <to>
      <col>2</col>
      <colOff>171450</colOff>
      <row>34</row>
      <rowOff>400050</rowOff>
    </to>
    <pic macro="[0]!findNext_sheet">
      <nvPicPr>
        <cNvPr id="714885" name="Picture 4" descr="next1.png"/>
        <cNvPicPr>
          <a:picLocks/>
        </cNvPicPr>
      </nvPicPr>
      <blipFill>
        <a:blip r:embed="rId4"/>
        <a:srcRect/>
        <a:stretch>
          <a:fillRect/>
        </a:stretch>
      </blipFill>
      <spPr bwMode="auto">
        <a:xfrm>
          <a:off x="3086100" y="9423400"/>
          <a:ext cx="958850" cy="342900"/>
        </a:xfrm>
        <a:prstGeom prst="rect">
          <avLst/>
        </a:prstGeom>
        <a:noFill/>
        <a:ln>
          <a:noFill/>
          <a:prstDash val="solid"/>
        </a:ln>
      </spPr>
    </pic>
    <clientData/>
  </twoCellAnchor>
  <twoCellAnchor editAs="oneCell">
    <from>
      <col>1</col>
      <colOff>546100</colOff>
      <row>15</row>
      <rowOff>107950</rowOff>
    </from>
    <to>
      <col>1</col>
      <colOff>1504950</colOff>
      <row>17</row>
      <rowOff>76200</rowOff>
    </to>
    <pic macro="[0]!Sheet41.addRow_DtlsIncomePaidSelfAst_ListS">
      <nvPicPr>
        <cNvPr id="714886" name="Picture 5" descr="ADD1.png"/>
        <cNvPicPr>
          <a:picLocks/>
        </cNvPicPr>
      </nvPicPr>
      <blipFill>
        <a:blip r:embed="rId5"/>
        <a:srcRect/>
        <a:stretch>
          <a:fillRect/>
        </a:stretch>
      </blipFill>
      <spPr bwMode="auto">
        <a:xfrm>
          <a:off x="2482850" y="4241800"/>
          <a:ext cx="958850" cy="336550"/>
        </a:xfrm>
        <a:prstGeom prst="rect">
          <avLst/>
        </a:prstGeom>
        <a:noFill/>
        <a:ln>
          <a:noFill/>
          <a:prstDash val="solid"/>
        </a:ln>
      </spPr>
    </pic>
    <clientData/>
  </twoCellAnchor>
  <twoCellAnchor editAs="oneCell">
    <from>
      <col>1</col>
      <colOff>546100</colOff>
      <row>24</row>
      <rowOff>146050</rowOff>
    </from>
    <to>
      <col>1</col>
      <colOff>1504950</colOff>
      <row>26</row>
      <rowOff>88900</rowOff>
    </to>
    <pic macro="[0]!Sheet41.addRow_DtlsIncomePaidAdvance_ListW">
      <nvPicPr>
        <cNvPr id="714887" name="Picture 5" descr="ADD1.png"/>
        <cNvPicPr>
          <a:picLocks/>
        </cNvPicPr>
      </nvPicPr>
      <blipFill>
        <a:blip r:embed="rId6"/>
        <a:srcRect/>
        <a:stretch>
          <a:fillRect/>
        </a:stretch>
      </blipFill>
      <spPr bwMode="auto">
        <a:xfrm>
          <a:off x="2482850" y="6731000"/>
          <a:ext cx="958850" cy="336550"/>
        </a:xfrm>
        <a:prstGeom prst="rect">
          <avLst/>
        </a:prstGeom>
        <a:noFill/>
        <a:ln>
          <a:noFill/>
          <a:prstDash val="solid"/>
        </a:ln>
      </spPr>
    </pic>
    <clientData/>
  </twoCellAnchor>
</wsDr>
</file>

<file path=xl/drawings/drawing24.xml><?xml version="1.0" encoding="utf-8"?>
<wsDr xmlns:a="http://schemas.openxmlformats.org/drawingml/2006/main" xmlns:r="http://schemas.openxmlformats.org/officeDocument/2006/relationships" xmlns="http://schemas.openxmlformats.org/drawingml/2006/spreadsheetDrawing">
  <twoCellAnchor editAs="oneCell">
    <from>
      <col>1</col>
      <colOff>1504950</colOff>
      <row>13</row>
      <rowOff>95250</rowOff>
    </from>
    <to>
      <col>2</col>
      <colOff>527050</colOff>
      <row>13</row>
      <rowOff>438150</rowOff>
    </to>
    <pic macro="[0]!Sheet24.addRow_DTAADtls_ListW">
      <nvPicPr>
        <cNvPr id="711952" name="Picture 5" descr="ADD1.png"/>
        <cNvPicPr>
          <a:picLocks/>
        </cNvPicPr>
      </nvPicPr>
      <blipFill>
        <a:blip r:embed="rId1"/>
        <a:srcRect/>
        <a:stretch>
          <a:fillRect/>
        </a:stretch>
      </blipFill>
      <spPr bwMode="auto">
        <a:xfrm>
          <a:off x="3441700" y="3530600"/>
          <a:ext cx="958850" cy="342900"/>
        </a:xfrm>
        <a:prstGeom prst="rect">
          <avLst/>
        </a:prstGeom>
        <a:noFill/>
        <a:ln>
          <a:noFill/>
          <a:prstDash val="solid"/>
        </a:ln>
      </spPr>
    </pic>
    <clientData/>
  </twoCellAnchor>
  <twoCellAnchor editAs="oneCell">
    <from>
      <col>1</col>
      <colOff>927100</colOff>
      <row>14</row>
      <rowOff>50800</rowOff>
    </from>
    <to>
      <col>1</col>
      <colOff>1885950</colOff>
      <row>14</row>
      <rowOff>393700</rowOff>
    </to>
    <pic macro="[0]!findPrev_sheet">
      <nvPicPr>
        <cNvPr id="711953" name="Picture 7" descr="Prev1.png"/>
        <cNvPicPr>
          <a:picLocks/>
        </cNvPicPr>
      </nvPicPr>
      <blipFill>
        <a:blip r:embed="rId2"/>
        <a:srcRect/>
        <a:stretch>
          <a:fillRect/>
        </a:stretch>
      </blipFill>
      <spPr bwMode="auto">
        <a:xfrm>
          <a:off x="2863850" y="3962400"/>
          <a:ext cx="958850" cy="342900"/>
        </a:xfrm>
        <a:prstGeom prst="rect">
          <avLst/>
        </a:prstGeom>
        <a:noFill/>
        <a:ln>
          <a:noFill/>
          <a:prstDash val="solid"/>
        </a:ln>
      </spPr>
    </pic>
    <clientData/>
  </twoCellAnchor>
  <twoCellAnchor editAs="oneCell">
    <from>
      <col>2</col>
      <colOff>139700</colOff>
      <row>14</row>
      <rowOff>38100</rowOff>
    </from>
    <to>
      <col>2</col>
      <colOff>1098550</colOff>
      <row>14</row>
      <rowOff>381000</rowOff>
    </to>
    <pic macro="[0]!findNext_sheet">
      <nvPicPr>
        <cNvPr id="711954" name="Picture 4" descr="next1.png"/>
        <cNvPicPr>
          <a:picLocks/>
        </cNvPicPr>
      </nvPicPr>
      <blipFill>
        <a:blip r:embed="rId3"/>
        <a:srcRect/>
        <a:stretch>
          <a:fillRect/>
        </a:stretch>
      </blipFill>
      <spPr bwMode="auto">
        <a:xfrm>
          <a:off x="4013200" y="3949700"/>
          <a:ext cx="958850" cy="342900"/>
        </a:xfrm>
        <a:prstGeom prst="rect">
          <avLst/>
        </a:prstGeom>
        <a:noFill/>
        <a:ln>
          <a:noFill/>
          <a:prstDash val="solid"/>
        </a:ln>
      </spPr>
    </pic>
    <clientData/>
  </twoCellAnchor>
  <twoCellAnchor editAs="oneCell">
    <from>
      <col>1</col>
      <colOff>1498600</colOff>
      <row>5</row>
      <rowOff>95250</rowOff>
    </from>
    <to>
      <col>2</col>
      <colOff>520700</colOff>
      <row>7</row>
      <rowOff>57150</rowOff>
    </to>
    <pic macro="[0]!Sheet24.addRow_DTAADtls_ListS">
      <nvPicPr>
        <cNvPr id="711955" name="Picture 5" descr="ADD1.png"/>
        <cNvPicPr>
          <a:picLocks/>
        </cNvPicPr>
      </nvPicPr>
      <blipFill>
        <a:blip r:embed="rId4"/>
        <a:srcRect/>
        <a:stretch>
          <a:fillRect/>
        </a:stretch>
      </blipFill>
      <spPr bwMode="auto">
        <a:xfrm>
          <a:off x="3435350" y="1530350"/>
          <a:ext cx="958850" cy="330200"/>
        </a:xfrm>
        <a:prstGeom prst="rect">
          <avLst/>
        </a:prstGeom>
        <a:noFill/>
        <a:ln>
          <a:noFill/>
          <a:prstDash val="solid"/>
        </a:ln>
      </spPr>
    </pic>
    <clientData/>
  </twoCellAnchor>
</wsDr>
</file>

<file path=xl/drawings/drawing25.xml><?xml version="1.0" encoding="utf-8"?>
<wsDr xmlns:a="http://schemas.openxmlformats.org/drawingml/2006/main" xmlns:r="http://schemas.openxmlformats.org/officeDocument/2006/relationships" xmlns="http://schemas.openxmlformats.org/drawingml/2006/spreadsheetDrawing">
  <twoCellAnchor editAs="oneCell">
    <from>
      <col>3</col>
      <colOff>1587500</colOff>
      <row>39</row>
      <rowOff>0</rowOff>
    </from>
    <to>
      <col>4</col>
      <colOff>609600</colOff>
      <row>39</row>
      <rowOff>342900</rowOff>
    </to>
    <pic macro="[0]!findNext_sheet">
      <nvPicPr>
        <cNvPr id="712837" name="Picture 6" descr="Next1.png"/>
        <cNvPicPr>
          <a:picLocks noChangeAspect="1"/>
        </cNvPicPr>
      </nvPicPr>
      <blipFill>
        <a:blip r:embed="rId1"/>
        <a:srcRect/>
        <a:stretch>
          <a:fillRect/>
        </a:stretch>
      </blipFill>
      <spPr bwMode="auto">
        <a:xfrm>
          <a:off x="6102350" y="10128250"/>
          <a:ext cx="958850" cy="342900"/>
        </a:xfrm>
        <a:prstGeom prst="rect">
          <avLst/>
        </a:prstGeom>
        <a:noFill/>
        <a:ln>
          <a:noFill/>
          <a:prstDash val="solid"/>
        </a:ln>
      </spPr>
    </pic>
    <clientData/>
  </twoCellAnchor>
  <twoCellAnchor editAs="oneCell">
    <from>
      <col>3</col>
      <colOff>438150</colOff>
      <row>39</row>
      <rowOff>0</rowOff>
    </from>
    <to>
      <col>3</col>
      <colOff>1397000</colOff>
      <row>39</row>
      <rowOff>342900</rowOff>
    </to>
    <pic macro="[0]!findPrev_sheet">
      <nvPicPr>
        <cNvPr id="712838" name="Picture 7" descr="Prev1.png"/>
        <cNvPicPr>
          <a:picLocks noChangeAspect="1"/>
        </cNvPicPr>
      </nvPicPr>
      <blipFill>
        <a:blip r:embed="rId2"/>
        <a:srcRect/>
        <a:stretch>
          <a:fillRect/>
        </a:stretch>
      </blipFill>
      <spPr bwMode="auto">
        <a:xfrm>
          <a:off x="4953000" y="10128250"/>
          <a:ext cx="958850" cy="342900"/>
        </a:xfrm>
        <a:prstGeom prst="rect">
          <avLst/>
        </a:prstGeom>
        <a:noFill/>
        <a:ln>
          <a:noFill/>
          <a:prstDash val="solid"/>
        </a:ln>
      </spPr>
    </pic>
    <clientData/>
  </twoCellAnchor>
</wsDr>
</file>

<file path=xl/drawings/drawing26.xml><?xml version="1.0" encoding="utf-8"?>
<wsDr xmlns:a="http://schemas.openxmlformats.org/drawingml/2006/main" xmlns:r="http://schemas.openxmlformats.org/officeDocument/2006/relationships" xmlns="http://schemas.openxmlformats.org/drawingml/2006/spreadsheetDrawing">
  <twoCellAnchor editAs="oneCell">
    <from>
      <col>1</col>
      <colOff>4387850</colOff>
      <row>58</row>
      <rowOff>69850</rowOff>
    </from>
    <to>
      <col>1</col>
      <colOff>5334000</colOff>
      <row>58</row>
      <rowOff>412750</rowOff>
    </to>
    <pic macro="[0]!findPrev_sheet">
      <nvPicPr>
        <cNvPr id="708003" name="Picture 7" descr="Prev1.png"/>
        <cNvPicPr>
          <a:picLocks/>
        </cNvPicPr>
      </nvPicPr>
      <blipFill>
        <a:blip r:embed="rId1"/>
        <a:srcRect/>
        <a:stretch>
          <a:fillRect/>
        </a:stretch>
      </blipFill>
      <spPr bwMode="auto">
        <a:xfrm>
          <a:off x="4984750" y="14655800"/>
          <a:ext cx="946150" cy="342900"/>
        </a:xfrm>
        <a:prstGeom prst="rect">
          <avLst/>
        </a:prstGeom>
        <a:noFill/>
        <a:ln>
          <a:noFill/>
          <a:prstDash val="solid"/>
        </a:ln>
      </spPr>
    </pic>
    <clientData/>
  </twoCellAnchor>
  <twoCellAnchor editAs="oneCell">
    <from>
      <col>1</col>
      <colOff>5562600</colOff>
      <row>58</row>
      <rowOff>57150</rowOff>
    </from>
    <to>
      <col>2</col>
      <colOff>876300</colOff>
      <row>58</row>
      <rowOff>400050</rowOff>
    </to>
    <pic macro="[0]!findNext_sheet">
      <nvPicPr>
        <cNvPr id="708004" name="Picture 4" descr="next1.png"/>
        <cNvPicPr>
          <a:picLocks/>
        </cNvPicPr>
      </nvPicPr>
      <blipFill>
        <a:blip r:embed="rId2"/>
        <a:srcRect/>
        <a:stretch>
          <a:fillRect/>
        </a:stretch>
      </blipFill>
      <spPr bwMode="auto">
        <a:xfrm>
          <a:off x="6159500" y="14643100"/>
          <a:ext cx="952500" cy="342900"/>
        </a:xfrm>
        <a:prstGeom prst="rect">
          <avLst/>
        </a:prstGeom>
        <a:noFill/>
        <a:ln>
          <a:noFill/>
          <a:prstDash val="solid"/>
        </a:ln>
      </spPr>
    </pic>
    <clientData/>
  </twoCellAnchor>
  <twoCellAnchor editAs="oneCell">
    <from>
      <col>1</col>
      <colOff>4940300</colOff>
      <row>45</row>
      <rowOff>88900</rowOff>
    </from>
    <to>
      <col>2</col>
      <colOff>273050</colOff>
      <row>46</row>
      <rowOff>177800</rowOff>
    </to>
    <pic macro="[0]!Sheet9.addRow_Name_Expenses_ListS">
      <nvPicPr>
        <cNvPr id="708005" name="Picture 5" descr="ADD1.png"/>
        <cNvPicPr>
          <a:picLocks/>
        </cNvPicPr>
      </nvPicPr>
      <blipFill>
        <a:blip r:embed="rId3"/>
        <a:srcRect/>
        <a:stretch>
          <a:fillRect/>
        </a:stretch>
      </blipFill>
      <spPr bwMode="auto">
        <a:xfrm>
          <a:off x="5537200" y="11461750"/>
          <a:ext cx="971550" cy="336550"/>
        </a:xfrm>
        <a:prstGeom prst="rect">
          <avLst/>
        </a:prstGeom>
        <a:noFill/>
        <a:ln>
          <a:noFill/>
          <a:prstDash val="solid"/>
        </a:ln>
      </spPr>
    </pic>
    <clientData/>
  </twoCellAnchor>
  <twoCellAnchor editAs="oneCell">
    <from>
      <col>1</col>
      <colOff>4972050</colOff>
      <row>57</row>
      <rowOff>76200</rowOff>
    </from>
    <to>
      <col>2</col>
      <colOff>292100</colOff>
      <row>57</row>
      <rowOff>419100</rowOff>
    </to>
    <pic macro="[0]!Sheet9.addRow_Name_Deductions_ListS">
      <nvPicPr>
        <cNvPr id="708006" name="Picture 5" descr="ADD1.png"/>
        <cNvPicPr>
          <a:picLocks/>
        </cNvPicPr>
      </nvPicPr>
      <blipFill>
        <a:blip r:embed="rId4"/>
        <a:srcRect/>
        <a:stretch>
          <a:fillRect/>
        </a:stretch>
      </blipFill>
      <spPr bwMode="auto">
        <a:xfrm>
          <a:off x="5568950" y="14185900"/>
          <a:ext cx="958850" cy="342900"/>
        </a:xfrm>
        <a:prstGeom prst="rect">
          <avLst/>
        </a:prstGeom>
        <a:noFill/>
        <a:ln>
          <a:noFill/>
          <a:prstDash val="solid"/>
        </a:ln>
      </spPr>
    </pic>
    <clientData/>
  </twoCellAnchor>
</wsDr>
</file>

<file path=xl/drawings/drawing27.xml><?xml version="1.0" encoding="utf-8"?>
<wsDr xmlns:a="http://schemas.openxmlformats.org/drawingml/2006/main" xmlns:r="http://schemas.openxmlformats.org/officeDocument/2006/relationships" xmlns="http://schemas.openxmlformats.org/drawingml/2006/spreadsheetDrawing">
  <twoCellAnchor editAs="oneCell">
    <from>
      <col>1</col>
      <colOff>4381500</colOff>
      <row>55</row>
      <rowOff>50800</rowOff>
    </from>
    <to>
      <col>1</col>
      <colOff>5327650</colOff>
      <row>55</row>
      <rowOff>393700</rowOff>
    </to>
    <pic macro="[0]!findPrev_sheet">
      <nvPicPr>
        <cNvPr id="709023" name="Picture 7" descr="Prev1.png"/>
        <cNvPicPr>
          <a:picLocks/>
        </cNvPicPr>
      </nvPicPr>
      <blipFill>
        <a:blip r:embed="rId1"/>
        <a:srcRect/>
        <a:stretch>
          <a:fillRect/>
        </a:stretch>
      </blipFill>
      <spPr bwMode="auto">
        <a:xfrm>
          <a:off x="4978400" y="14046200"/>
          <a:ext cx="946150" cy="342900"/>
        </a:xfrm>
        <a:prstGeom prst="rect">
          <avLst/>
        </a:prstGeom>
        <a:noFill/>
        <a:ln>
          <a:noFill/>
          <a:prstDash val="solid"/>
        </a:ln>
      </spPr>
    </pic>
    <clientData/>
  </twoCellAnchor>
  <twoCellAnchor editAs="oneCell">
    <from>
      <col>1</col>
      <colOff>5549900</colOff>
      <row>55</row>
      <rowOff>38100</rowOff>
    </from>
    <to>
      <col>2</col>
      <colOff>869950</colOff>
      <row>55</row>
      <rowOff>381000</rowOff>
    </to>
    <pic macro="[0]!findNext_sheet">
      <nvPicPr>
        <cNvPr id="709024" name="Picture 4" descr="next1.png"/>
        <cNvPicPr>
          <a:picLocks/>
        </cNvPicPr>
      </nvPicPr>
      <blipFill>
        <a:blip r:embed="rId2"/>
        <a:srcRect/>
        <a:stretch>
          <a:fillRect/>
        </a:stretch>
      </blipFill>
      <spPr bwMode="auto">
        <a:xfrm>
          <a:off x="6146800" y="14033500"/>
          <a:ext cx="958850" cy="342900"/>
        </a:xfrm>
        <a:prstGeom prst="rect">
          <avLst/>
        </a:prstGeom>
        <a:noFill/>
        <a:ln>
          <a:noFill/>
          <a:prstDash val="solid"/>
        </a:ln>
      </spPr>
    </pic>
    <clientData/>
  </twoCellAnchor>
  <twoCellAnchor editAs="oneCell">
    <from>
      <col>1</col>
      <colOff>4940300</colOff>
      <row>44</row>
      <rowOff>88900</rowOff>
    </from>
    <to>
      <col>2</col>
      <colOff>273050</colOff>
      <row>45</row>
      <rowOff>177800</rowOff>
    </to>
    <pic macro="[0]!Sheet19.addRow_Name_Expenses_ListW">
      <nvPicPr>
        <cNvPr id="709025" name="Picture 5" descr="ADD1.png"/>
        <cNvPicPr>
          <a:picLocks/>
        </cNvPicPr>
      </nvPicPr>
      <blipFill>
        <a:blip r:embed="rId3"/>
        <a:srcRect/>
        <a:stretch>
          <a:fillRect/>
        </a:stretch>
      </blipFill>
      <spPr bwMode="auto">
        <a:xfrm>
          <a:off x="5537200" y="11264900"/>
          <a:ext cx="971550" cy="336550"/>
        </a:xfrm>
        <a:prstGeom prst="rect">
          <avLst/>
        </a:prstGeom>
        <a:noFill/>
        <a:ln>
          <a:noFill/>
          <a:prstDash val="solid"/>
        </a:ln>
      </spPr>
    </pic>
    <clientData/>
  </twoCellAnchor>
  <twoCellAnchor editAs="oneCell">
    <from>
      <col>1</col>
      <colOff>4972050</colOff>
      <row>54</row>
      <rowOff>101600</rowOff>
    </from>
    <to>
      <col>2</col>
      <colOff>292100</colOff>
      <row>54</row>
      <rowOff>450850</rowOff>
    </to>
    <pic macro="[0]!Sheet19.addRow_Name_Deductions_ListW">
      <nvPicPr>
        <cNvPr id="709026" name="Picture 5" descr="ADD1.png"/>
        <cNvPicPr>
          <a:picLocks/>
        </cNvPicPr>
      </nvPicPr>
      <blipFill>
        <a:blip r:embed="rId4"/>
        <a:srcRect/>
        <a:stretch>
          <a:fillRect/>
        </a:stretch>
      </blipFill>
      <spPr bwMode="auto">
        <a:xfrm>
          <a:off x="5568950" y="13620750"/>
          <a:ext cx="958850" cy="349250"/>
        </a:xfrm>
        <a:prstGeom prst="rect">
          <avLst/>
        </a:prstGeom>
        <a:noFill/>
        <a:ln>
          <a:noFill/>
          <a:prstDash val="solid"/>
        </a:ln>
      </spPr>
    </pic>
    <clientData/>
  </twoCellAnchor>
</wsDr>
</file>

<file path=xl/drawings/drawing28.xml><?xml version="1.0" encoding="utf-8"?>
<wsDr xmlns:a="http://schemas.openxmlformats.org/drawingml/2006/main" xmlns:r="http://schemas.openxmlformats.org/officeDocument/2006/relationships" xmlns="http://schemas.openxmlformats.org/drawingml/2006/spreadsheetDrawing">
  <twoCellAnchor editAs="oneCell">
    <from>
      <col>1</col>
      <colOff>4546600</colOff>
      <row>31</row>
      <rowOff>469900</rowOff>
    </from>
    <to>
      <col>1</col>
      <colOff>5505450</colOff>
      <row>32</row>
      <rowOff>330199</rowOff>
    </to>
    <pic macro="[0]!findPrev_sheet">
      <nvPicPr>
        <cNvPr id="672559" name="Picture 7" descr="Prev1.png"/>
        <cNvPicPr>
          <a:picLocks/>
        </cNvPicPr>
      </nvPicPr>
      <blipFill>
        <a:blip r:embed="rId1"/>
        <a:srcRect/>
        <a:stretch>
          <a:fillRect/>
        </a:stretch>
      </blipFill>
      <spPr bwMode="auto">
        <a:xfrm>
          <a:off x="5187950" y="8655050"/>
          <a:ext cx="958850" cy="336550"/>
        </a:xfrm>
        <a:prstGeom prst="rect">
          <avLst/>
        </a:prstGeom>
        <a:noFill/>
        <a:ln>
          <a:noFill/>
          <a:prstDash val="solid"/>
        </a:ln>
      </spPr>
    </pic>
    <clientData/>
  </twoCellAnchor>
  <twoCellAnchor editAs="oneCell">
    <from>
      <col>2</col>
      <colOff>0</colOff>
      <row>32</row>
      <rowOff>0</rowOff>
    </from>
    <to>
      <col>2</col>
      <colOff>958850</colOff>
      <row>32</row>
      <rowOff>342900</rowOff>
    </to>
    <pic macro="[0]!createErrorSheet">
      <nvPicPr>
        <cNvPr id="672560" name="Picture 12" descr="Validate1.png"/>
        <cNvPicPr>
          <a:picLocks/>
        </cNvPicPr>
      </nvPicPr>
      <blipFill>
        <a:blip r:embed="rId2"/>
        <a:srcRect/>
        <a:stretch>
          <a:fillRect/>
        </a:stretch>
      </blipFill>
      <spPr bwMode="auto">
        <a:xfrm>
          <a:off x="6280150" y="8661400"/>
          <a:ext cx="958850" cy="342900"/>
        </a:xfrm>
        <a:prstGeom prst="rect">
          <avLst/>
        </a:prstGeom>
        <a:noFill/>
        <a:ln>
          <a:noFill/>
          <a:prstDash val="solid"/>
        </a:ln>
      </spPr>
    </pic>
    <clientData/>
  </twoCellAnchor>
</wsDr>
</file>

<file path=xl/externalLinks/_rels/externalLink1.xml.rels><Relationships xmlns="http://schemas.openxmlformats.org/package/2006/relationships"><Relationship Type="http://schemas.openxmlformats.org/officeDocument/2006/relationships/externalLinkPath" Target="file:///C:/Users/USER/Downloads/NON_INDIVIDUAL_COMPANY_RETURN.xls" TargetMode="External" Id="rId1" /></Relationships>
</file>

<file path=xl/externalLinks/_rels/externalLink2.xml.rels><Relationships xmlns="http://schemas.openxmlformats.org/package/2006/relationships"><Relationship Type="http://schemas.openxmlformats.org/officeDocument/2006/relationships/externalLinkPath" Target="file:///C:/Users/USER/Downloads/Test/NON_INDIVIDUAL_COMPANY_RETURN.xls" TargetMode="External" Id="rId1" /></Relationships>
</file>

<file path=xl/externalLinks/_rels/externalLink3.xml.rels><Relationships xmlns="http://schemas.openxmlformats.org/package/2006/relationships"><Relationship Type="http://schemas.openxmlformats.org/officeDocument/2006/relationships/externalLinkPath" Target="file:///C:/Users/USER/Downloads/test/NON_INDIVIDUAL_PARTNERSHIP_RETURN.xls" TargetMode="External" Id="rId1" /></Relationships>
</file>

<file path=xl/externalLinks/_rels/externalLink4.xml.rels><Relationships xmlns="http://schemas.openxmlformats.org/package/2006/relationships"><Relationship Type="http://schemas.openxmlformats.org/officeDocument/2006/relationships/externalLinkPath" Target="file:///C:/Users/USER/Downloads/NON_INDIVIDUAL_PARTNERSHIP_RETURN.xls"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Data"/>
      <sheetName val="Read Me"/>
      <sheetName val="Errors"/>
      <sheetName val="Validations"/>
      <sheetName val="ValidationList"/>
      <sheetName val="A_Basic_Info"/>
      <sheetName val="B_Profit_Loss_Account"/>
      <sheetName val="C_Balance_Sheet"/>
      <sheetName val="D_Stock_Analysis"/>
      <sheetName val="E1_IDA_CA"/>
      <sheetName val="E2_CA_WTA_WDV"/>
      <sheetName val="E2_CA_WTA_SLM"/>
      <sheetName val="E_summary_of_Capital_Allowance"/>
      <sheetName val="F_Installment_Tax_Credits"/>
      <sheetName val="G_WHT_Credits"/>
      <sheetName val="H_Advance_Tax_Credits"/>
      <sheetName val="I_IT_Payment_Credits"/>
      <sheetName val="J_Previous_Years_Losses"/>
      <sheetName val="K_Tax_Computation"/>
      <sheetName val="L_Estate_Trust_Distri_Inco"/>
      <sheetName val="Sheet1"/>
      <sheetName val="E2_CA_WTA_WDV_I"/>
      <sheetName val="E2_CA_WTA_SLM_II"/>
      <sheetName val="D_Stock_Detail"/>
      <sheetName val="NON_INDIVIDUAL_COMPANY_RETURN"/>
    </sheetNames>
    <sheetDataSet>
      <sheetData sheetId="0" refreshError="1">
        <row r="2">
          <cell r="K2" t="str">
            <v>Outisde City of Nairobi or Municipalities of Mombasa or Kisumu(above 2 million only)</v>
          </cell>
          <cell r="L2" t="str">
            <v>LC3</v>
          </cell>
          <cell r="N2" t="str">
            <v>KILALA</v>
          </cell>
          <cell r="P2" t="str">
            <v>Baringo</v>
          </cell>
          <cell r="Q2" t="str">
            <v>District1</v>
          </cell>
          <cell r="V2" t="str">
            <v>Business</v>
          </cell>
          <cell r="W2" t="str">
            <v>Buss</v>
          </cell>
          <cell r="X2">
            <v>0</v>
          </cell>
          <cell r="Z2" t="str">
            <v>Local142</v>
          </cell>
          <cell r="AB2" t="str">
            <v>Koibatek District</v>
          </cell>
          <cell r="AS2" t="str">
            <v>African Banking Corporation  Limited</v>
          </cell>
          <cell r="AY2" t="str">
            <v>RIVER ROAD</v>
          </cell>
        </row>
        <row r="3">
          <cell r="K3" t="str">
            <v>Outside Municipality of Nairobi or Mombasa</v>
          </cell>
          <cell r="L3" t="str">
            <v>LC1</v>
          </cell>
          <cell r="N3" t="str">
            <v>KILGORIS</v>
          </cell>
          <cell r="P3" t="str">
            <v>Bomet</v>
          </cell>
          <cell r="Q3" t="str">
            <v>District2</v>
          </cell>
          <cell r="V3" t="str">
            <v>Farming</v>
          </cell>
          <cell r="W3" t="str">
            <v>Farm</v>
          </cell>
          <cell r="Z3" t="str">
            <v>Local143</v>
          </cell>
          <cell r="AB3" t="str">
            <v>Marigat District</v>
          </cell>
          <cell r="AS3" t="str">
            <v>Akiba Bank</v>
          </cell>
          <cell r="AY3" t="str">
            <v>HEAD OFFICE</v>
          </cell>
        </row>
        <row r="4">
          <cell r="K4" t="str">
            <v>Within Municipality of Nairobi or Mombasa</v>
          </cell>
          <cell r="L4" t="str">
            <v>LC2</v>
          </cell>
          <cell r="N4" t="str">
            <v>KILIBWONI</v>
          </cell>
          <cell r="P4" t="str">
            <v>Bungoma</v>
          </cell>
          <cell r="Q4" t="str">
            <v>District3</v>
          </cell>
          <cell r="V4" t="str">
            <v>Interest</v>
          </cell>
          <cell r="W4" t="str">
            <v>Int</v>
          </cell>
          <cell r="Z4" t="str">
            <v>Local144</v>
          </cell>
          <cell r="AB4" t="str">
            <v>Mogotio District</v>
          </cell>
          <cell r="AS4" t="str">
            <v>Bank Of Africa (K) Limited</v>
          </cell>
          <cell r="AY4" t="str">
            <v>THIKA</v>
          </cell>
        </row>
        <row r="5">
          <cell r="N5" t="str">
            <v>KILIFI</v>
          </cell>
          <cell r="P5" t="str">
            <v>Busia</v>
          </cell>
          <cell r="Q5" t="str">
            <v>District4</v>
          </cell>
          <cell r="V5" t="str">
            <v>Other Sources</v>
          </cell>
          <cell r="W5" t="str">
            <v>Oth</v>
          </cell>
          <cell r="Z5" t="str">
            <v>Local139</v>
          </cell>
          <cell r="AB5" t="str">
            <v>Baringo Central District</v>
          </cell>
          <cell r="AS5" t="str">
            <v>Bank Of Baroda</v>
          </cell>
          <cell r="AY5" t="str">
            <v>PALLI HOUSE BRANCH</v>
          </cell>
        </row>
        <row r="6">
          <cell r="N6" t="str">
            <v>KILINDINI</v>
          </cell>
          <cell r="P6" t="str">
            <v>Elgeyo/Marakwet</v>
          </cell>
          <cell r="Q6" t="str">
            <v>District5</v>
          </cell>
          <cell r="V6" t="str">
            <v>Rental</v>
          </cell>
          <cell r="W6" t="str">
            <v>Rent</v>
          </cell>
          <cell r="Z6" t="str">
            <v>Local140</v>
          </cell>
          <cell r="AB6" t="str">
            <v>Baringo North District</v>
          </cell>
          <cell r="AS6" t="str">
            <v>Bank Of India</v>
          </cell>
        </row>
        <row r="7">
          <cell r="N7" t="str">
            <v>KILINGILI</v>
          </cell>
          <cell r="P7" t="str">
            <v>Embu</v>
          </cell>
          <cell r="Q7" t="str">
            <v>District6</v>
          </cell>
          <cell r="Z7" t="str">
            <v>Local141</v>
          </cell>
          <cell r="AB7" t="str">
            <v>East Pokot District</v>
          </cell>
          <cell r="AS7" t="str">
            <v>Barclays Bank Of Kenya</v>
          </cell>
        </row>
        <row r="8">
          <cell r="N8" t="str">
            <v>KIMAHURI</v>
          </cell>
          <cell r="P8" t="str">
            <v>Garissa</v>
          </cell>
          <cell r="Q8" t="str">
            <v>District7</v>
          </cell>
          <cell r="Z8" t="str">
            <v>Local147</v>
          </cell>
          <cell r="AB8" t="str">
            <v>Sotik District</v>
          </cell>
          <cell r="AS8" t="str">
            <v>Central Bank Of Kenya</v>
          </cell>
        </row>
        <row r="9">
          <cell r="N9" t="str">
            <v>KIMANA</v>
          </cell>
          <cell r="P9" t="str">
            <v>Homa Bay</v>
          </cell>
          <cell r="Q9" t="str">
            <v>District8</v>
          </cell>
          <cell r="Z9" t="str">
            <v>Local146</v>
          </cell>
          <cell r="AB9" t="str">
            <v>Buret District</v>
          </cell>
          <cell r="AS9" t="str">
            <v>Cfc Bank Limited</v>
          </cell>
        </row>
        <row r="10">
          <cell r="C10" t="str">
            <v>Van, Pick-ups, Trucks, Lorries</v>
          </cell>
          <cell r="N10" t="str">
            <v>KIMATHI WAY</v>
          </cell>
          <cell r="P10" t="str">
            <v>Isiolo</v>
          </cell>
          <cell r="Q10" t="str">
            <v>District9</v>
          </cell>
          <cell r="Z10" t="str">
            <v>Local145</v>
          </cell>
          <cell r="AB10" t="str">
            <v>Bomet District</v>
          </cell>
          <cell r="AS10" t="str">
            <v>Chase Bank (Kenya) Ltd</v>
          </cell>
        </row>
        <row r="11">
          <cell r="C11" t="str">
            <v>Saloons, Station-Wagons, Minibuses, Buses, Coaches</v>
          </cell>
          <cell r="N11" t="str">
            <v>KIMBIMBI</v>
          </cell>
          <cell r="P11" t="str">
            <v>Kajiado</v>
          </cell>
          <cell r="Q11" t="str">
            <v>District10</v>
          </cell>
          <cell r="Z11" t="str">
            <v>Local197</v>
          </cell>
          <cell r="AB11" t="str">
            <v>Mt. Elgon District</v>
          </cell>
          <cell r="AS11" t="str">
            <v>Citibank N.A.</v>
          </cell>
        </row>
        <row r="12">
          <cell r="N12" t="str">
            <v>KIMILILI</v>
          </cell>
          <cell r="P12" t="str">
            <v>Kakamega</v>
          </cell>
          <cell r="Q12" t="str">
            <v>District11</v>
          </cell>
          <cell r="Z12" t="str">
            <v>Local192</v>
          </cell>
          <cell r="AB12" t="str">
            <v>Bungoma Central District</v>
          </cell>
          <cell r="AS12" t="str">
            <v>City Finance Bank Ltd</v>
          </cell>
        </row>
        <row r="13">
          <cell r="N13" t="str">
            <v>KIMININI</v>
          </cell>
          <cell r="P13" t="str">
            <v>Kericho</v>
          </cell>
          <cell r="Q13" t="str">
            <v>District12</v>
          </cell>
          <cell r="Z13" t="str">
            <v>Local195</v>
          </cell>
          <cell r="AB13" t="str">
            <v>Bungoma South District</v>
          </cell>
          <cell r="AS13" t="str">
            <v>Co-Operative Bank Of Kenya Ltd</v>
          </cell>
        </row>
        <row r="14">
          <cell r="N14" t="str">
            <v>KIMONING</v>
          </cell>
          <cell r="P14" t="str">
            <v>Kiambu</v>
          </cell>
          <cell r="Q14" t="str">
            <v>District13</v>
          </cell>
          <cell r="Z14" t="str">
            <v>Local196</v>
          </cell>
          <cell r="AB14" t="str">
            <v>Bungoma West District</v>
          </cell>
          <cell r="AS14" t="str">
            <v>Commercial Bank Of Africa Ltd</v>
          </cell>
        </row>
        <row r="15">
          <cell r="N15" t="str">
            <v>KIMULOT</v>
          </cell>
          <cell r="P15" t="str">
            <v>Kilifi</v>
          </cell>
          <cell r="Q15" t="str">
            <v>District14</v>
          </cell>
          <cell r="Z15" t="str">
            <v>Local194</v>
          </cell>
          <cell r="AB15" t="str">
            <v>Bungoma North District</v>
          </cell>
          <cell r="AS15" t="str">
            <v>Consolidated Bank Of Kenya Ltd</v>
          </cell>
        </row>
        <row r="16">
          <cell r="N16" t="str">
            <v>KIMWARER</v>
          </cell>
          <cell r="P16" t="str">
            <v>Kirinyaga</v>
          </cell>
          <cell r="Q16" t="str">
            <v>District15</v>
          </cell>
          <cell r="Z16" t="str">
            <v>Local193</v>
          </cell>
          <cell r="AB16" t="str">
            <v>Bungoma East District</v>
          </cell>
          <cell r="AS16" t="str">
            <v>Credit Bank Limited</v>
          </cell>
        </row>
        <row r="17">
          <cell r="N17" t="str">
            <v>KINAMBA</v>
          </cell>
          <cell r="P17" t="str">
            <v>Kisii</v>
          </cell>
          <cell r="Q17" t="str">
            <v>District16</v>
          </cell>
          <cell r="Z17" t="str">
            <v>Local200</v>
          </cell>
          <cell r="AB17" t="str">
            <v>Samia District</v>
          </cell>
          <cell r="AS17" t="str">
            <v>Development Bank Of Kenya Ltd</v>
          </cell>
        </row>
        <row r="18">
          <cell r="N18" t="str">
            <v>KINANGO</v>
          </cell>
          <cell r="P18" t="str">
            <v>Kisumu</v>
          </cell>
          <cell r="Q18" t="str">
            <v>District17</v>
          </cell>
          <cell r="Z18" t="str">
            <v>Local202</v>
          </cell>
          <cell r="AB18" t="str">
            <v>Teso South District</v>
          </cell>
          <cell r="AS18" t="str">
            <v>Diamond Trust Bank Of Kenya Ltd</v>
          </cell>
        </row>
        <row r="19">
          <cell r="D19" t="str">
            <v>Original</v>
          </cell>
          <cell r="F19" t="str">
            <v>Yes</v>
          </cell>
          <cell r="N19" t="str">
            <v>KINARI</v>
          </cell>
          <cell r="P19" t="str">
            <v>Kitui</v>
          </cell>
          <cell r="Q19" t="str">
            <v>District18</v>
          </cell>
          <cell r="Z19" t="str">
            <v>Local201</v>
          </cell>
          <cell r="AB19" t="str">
            <v>Teso North District</v>
          </cell>
          <cell r="AS19" t="str">
            <v>Dubai Bank (Kenya) Ltd</v>
          </cell>
        </row>
        <row r="20">
          <cell r="D20" t="str">
            <v>Amended</v>
          </cell>
          <cell r="F20" t="str">
            <v>No</v>
          </cell>
          <cell r="N20" t="str">
            <v>KINDARUMA</v>
          </cell>
          <cell r="P20" t="str">
            <v>Kwale</v>
          </cell>
          <cell r="Q20" t="str">
            <v>District19</v>
          </cell>
          <cell r="Z20" t="str">
            <v>Local199</v>
          </cell>
          <cell r="AB20" t="str">
            <v>Busia District</v>
          </cell>
          <cell r="AS20" t="str">
            <v>Equatorial Commercial Ltd</v>
          </cell>
        </row>
        <row r="21">
          <cell r="N21" t="str">
            <v>KINUNGA</v>
          </cell>
          <cell r="P21" t="str">
            <v>Laikipia</v>
          </cell>
          <cell r="Q21" t="str">
            <v>District20</v>
          </cell>
          <cell r="Z21" t="str">
            <v>Local198</v>
          </cell>
          <cell r="AB21" t="str">
            <v>Bunyala District</v>
          </cell>
          <cell r="AS21" t="str">
            <v>Equity Bank Ltd</v>
          </cell>
        </row>
        <row r="22">
          <cell r="N22" t="str">
            <v>KIONYO</v>
          </cell>
          <cell r="P22" t="str">
            <v>Lamu</v>
          </cell>
          <cell r="Q22" t="str">
            <v>District21</v>
          </cell>
          <cell r="Z22" t="str">
            <v>Local149</v>
          </cell>
          <cell r="AB22" t="str">
            <v>Marakwet District</v>
          </cell>
          <cell r="AS22" t="str">
            <v>Family Bank Limited</v>
          </cell>
        </row>
        <row r="23">
          <cell r="N23" t="str">
            <v>KIPEVU</v>
          </cell>
          <cell r="P23" t="str">
            <v>Machakos</v>
          </cell>
          <cell r="Q23" t="str">
            <v>District22</v>
          </cell>
          <cell r="Z23" t="str">
            <v>Local148</v>
          </cell>
          <cell r="AB23" t="str">
            <v>Keiyo District</v>
          </cell>
          <cell r="AS23" t="str">
            <v>Fidelity Commercial Bank Ltd</v>
          </cell>
        </row>
        <row r="24">
          <cell r="N24" t="str">
            <v>KIPKABUS</v>
          </cell>
          <cell r="P24" t="str">
            <v>Makueni</v>
          </cell>
          <cell r="Q24" t="str">
            <v>District23</v>
          </cell>
          <cell r="Z24" t="str">
            <v>Local50</v>
          </cell>
          <cell r="AB24" t="str">
            <v>Mbeere North District</v>
          </cell>
          <cell r="AS24" t="str">
            <v>Fina Bank Ltd</v>
          </cell>
        </row>
        <row r="25">
          <cell r="N25" t="str">
            <v>KIPKARREN RIVER</v>
          </cell>
          <cell r="P25" t="str">
            <v>Mandera</v>
          </cell>
          <cell r="Q25" t="str">
            <v>District24</v>
          </cell>
          <cell r="Z25" t="str">
            <v>Local51</v>
          </cell>
          <cell r="AB25" t="str">
            <v>Mbeere South District</v>
          </cell>
          <cell r="AS25" t="str">
            <v>First Community Bank Ltd</v>
          </cell>
        </row>
        <row r="26">
          <cell r="N26" t="str">
            <v>KIPKELION</v>
          </cell>
          <cell r="P26" t="str">
            <v>Marsabit</v>
          </cell>
          <cell r="Q26" t="str">
            <v>District25</v>
          </cell>
          <cell r="Z26" t="str">
            <v>Local48</v>
          </cell>
          <cell r="AB26" t="str">
            <v>Embu East District</v>
          </cell>
          <cell r="AS26" t="str">
            <v>Giro Bank</v>
          </cell>
        </row>
        <row r="27">
          <cell r="N27" t="str">
            <v>KIPLEGETET</v>
          </cell>
          <cell r="P27" t="str">
            <v>Meru</v>
          </cell>
          <cell r="Q27" t="str">
            <v>District26</v>
          </cell>
          <cell r="Z27" t="str">
            <v>Local49</v>
          </cell>
          <cell r="AB27" t="str">
            <v>Embu West District</v>
          </cell>
          <cell r="AS27" t="str">
            <v>Guardian Bank Ltd</v>
          </cell>
        </row>
        <row r="28">
          <cell r="N28" t="str">
            <v>KIPLELJI</v>
          </cell>
          <cell r="P28" t="str">
            <v>Migori</v>
          </cell>
          <cell r="Q28" t="str">
            <v>District27</v>
          </cell>
          <cell r="Z28" t="str">
            <v>Local96</v>
          </cell>
          <cell r="AB28" t="str">
            <v>Ijara District</v>
          </cell>
          <cell r="AS28" t="str">
            <v>Gulf African Bank</v>
          </cell>
        </row>
        <row r="29">
          <cell r="N29" t="str">
            <v>KIPSAINA</v>
          </cell>
          <cell r="P29" t="str">
            <v>Mombasa</v>
          </cell>
          <cell r="Q29" t="str">
            <v>District28</v>
          </cell>
          <cell r="Z29" t="str">
            <v>Local97</v>
          </cell>
          <cell r="AB29" t="str">
            <v>Lagdera District</v>
          </cell>
          <cell r="AS29" t="str">
            <v>Habib Bank A.G. Zurich</v>
          </cell>
        </row>
        <row r="30">
          <cell r="N30" t="str">
            <v>KIPTABACH</v>
          </cell>
          <cell r="P30" t="str">
            <v>Murang’a</v>
          </cell>
          <cell r="Q30" t="str">
            <v>District29</v>
          </cell>
          <cell r="Z30" t="str">
            <v>Local94</v>
          </cell>
          <cell r="AB30" t="str">
            <v>Fafi District</v>
          </cell>
          <cell r="AS30" t="str">
            <v>Habib Bank Ltd</v>
          </cell>
        </row>
        <row r="31">
          <cell r="N31" t="str">
            <v>KIPTAGICH</v>
          </cell>
          <cell r="P31" t="str">
            <v>Nairobi City</v>
          </cell>
          <cell r="Q31" t="str">
            <v>District30</v>
          </cell>
          <cell r="Z31" t="str">
            <v>Local95</v>
          </cell>
          <cell r="AB31" t="str">
            <v>Garissa District</v>
          </cell>
          <cell r="AS31" t="str">
            <v>HDFC</v>
          </cell>
        </row>
        <row r="32">
          <cell r="N32" t="str">
            <v>KIPTANGWANYI</v>
          </cell>
          <cell r="P32" t="str">
            <v>Nakuru</v>
          </cell>
          <cell r="Q32" t="str">
            <v>District31</v>
          </cell>
          <cell r="Z32" t="str">
            <v>Local121</v>
          </cell>
          <cell r="AB32" t="str">
            <v>Kisumu West District</v>
          </cell>
          <cell r="AS32" t="str">
            <v>Imperial Bank Ltd</v>
          </cell>
        </row>
        <row r="33">
          <cell r="N33" t="str">
            <v>KIPTERE</v>
          </cell>
          <cell r="P33" t="str">
            <v>Nandi</v>
          </cell>
          <cell r="Q33" t="str">
            <v>District32</v>
          </cell>
          <cell r="Z33" t="str">
            <v>Local122</v>
          </cell>
          <cell r="AB33" t="str">
            <v>Nyakach District</v>
          </cell>
          <cell r="AS33" t="str">
            <v>Investments And Mortgages Bank Ltd</v>
          </cell>
        </row>
        <row r="34">
          <cell r="N34" t="str">
            <v>KIPTUGUMO</v>
          </cell>
          <cell r="P34" t="str">
            <v>Narok</v>
          </cell>
          <cell r="Q34" t="str">
            <v>District33</v>
          </cell>
          <cell r="Z34" t="str">
            <v>Local123</v>
          </cell>
          <cell r="AB34" t="str">
            <v>Nyando District</v>
          </cell>
          <cell r="AS34" t="str">
            <v>K-Rep Bank Limited</v>
          </cell>
        </row>
        <row r="35">
          <cell r="N35" t="str">
            <v>KIRENGETI</v>
          </cell>
          <cell r="P35" t="str">
            <v>Nyamira</v>
          </cell>
          <cell r="Q35" t="str">
            <v>District34</v>
          </cell>
          <cell r="Z35" t="str">
            <v>Local111</v>
          </cell>
          <cell r="AB35" t="str">
            <v>Rachuonyo South District</v>
          </cell>
          <cell r="AS35" t="str">
            <v>Kenya Commercial Bank Ltd</v>
          </cell>
        </row>
        <row r="36">
          <cell r="N36" t="str">
            <v>KIRIANI</v>
          </cell>
          <cell r="P36" t="str">
            <v>Nyandarua</v>
          </cell>
          <cell r="Q36" t="str">
            <v>District35</v>
          </cell>
          <cell r="Z36" t="str">
            <v>Local110</v>
          </cell>
          <cell r="AB36" t="str">
            <v>Rachuonyo North District</v>
          </cell>
          <cell r="AS36" t="str">
            <v>Middle East Bank Kenya Ltd</v>
          </cell>
        </row>
        <row r="37">
          <cell r="N37" t="str">
            <v>KIRIE</v>
          </cell>
          <cell r="P37" t="str">
            <v>Nyeri</v>
          </cell>
          <cell r="Q37" t="str">
            <v>District36</v>
          </cell>
          <cell r="Z37" t="str">
            <v>Local107</v>
          </cell>
          <cell r="AB37" t="str">
            <v>Mbita District</v>
          </cell>
          <cell r="AS37" t="str">
            <v>National Bank Of Kenya Ltd</v>
          </cell>
        </row>
        <row r="38">
          <cell r="N38" t="str">
            <v>KIRIMUN</v>
          </cell>
          <cell r="P38" t="str">
            <v>Samburu</v>
          </cell>
          <cell r="Q38" t="str">
            <v>District37</v>
          </cell>
          <cell r="Z38" t="str">
            <v>Local106</v>
          </cell>
          <cell r="AB38" t="str">
            <v>Homa Bay District</v>
          </cell>
          <cell r="AS38" t="str">
            <v>National Industrial Credit Bank Ltd</v>
          </cell>
        </row>
        <row r="39">
          <cell r="N39" t="str">
            <v>KIRISOI</v>
          </cell>
          <cell r="P39" t="str">
            <v>Siaya</v>
          </cell>
          <cell r="Q39" t="str">
            <v>District38</v>
          </cell>
          <cell r="Z39" t="str">
            <v>Local109</v>
          </cell>
          <cell r="AB39" t="str">
            <v>Suba District</v>
          </cell>
          <cell r="AS39" t="str">
            <v>Oriental Commercial Bank</v>
          </cell>
        </row>
        <row r="40">
          <cell r="N40" t="str">
            <v>KIRITIRI</v>
          </cell>
          <cell r="P40" t="str">
            <v>Taita/Taveta</v>
          </cell>
          <cell r="Q40" t="str">
            <v>District39</v>
          </cell>
          <cell r="Z40" t="str">
            <v>Local108</v>
          </cell>
          <cell r="AB40" t="str">
            <v>Ndhiwa District</v>
          </cell>
          <cell r="AS40" t="str">
            <v xml:space="preserve">Paramount Un. Bank </v>
          </cell>
        </row>
        <row r="41">
          <cell r="N41" t="str">
            <v>KIRITU</v>
          </cell>
          <cell r="P41" t="str">
            <v>Tana River</v>
          </cell>
          <cell r="Q41" t="str">
            <v>District40</v>
          </cell>
          <cell r="Z41" t="str">
            <v>Local52</v>
          </cell>
          <cell r="AB41" t="str">
            <v>Garbatula District</v>
          </cell>
          <cell r="AS41" t="str">
            <v>Prime Bank Limited</v>
          </cell>
        </row>
        <row r="42">
          <cell r="N42" t="str">
            <v>KIRIUA</v>
          </cell>
          <cell r="P42" t="str">
            <v>Tharaka-Nithi</v>
          </cell>
          <cell r="Q42" t="str">
            <v>District41</v>
          </cell>
          <cell r="Z42" t="str">
            <v>Local53</v>
          </cell>
          <cell r="AB42" t="str">
            <v>Isiolo District</v>
          </cell>
          <cell r="AS42" t="str">
            <v>Punjab National Bank</v>
          </cell>
        </row>
        <row r="43">
          <cell r="N43" t="str">
            <v>KIROBON</v>
          </cell>
          <cell r="P43" t="str">
            <v>Trans Nzoia</v>
          </cell>
          <cell r="Q43" t="str">
            <v>District42</v>
          </cell>
          <cell r="Z43" t="str">
            <v>Local151</v>
          </cell>
          <cell r="AB43" t="str">
            <v>Kajiado North District</v>
          </cell>
          <cell r="AS43" t="str">
            <v>Southern Credit Banking Corp Ltd</v>
          </cell>
        </row>
        <row r="44">
          <cell r="N44" t="str">
            <v>KIRUARA</v>
          </cell>
          <cell r="P44" t="str">
            <v>Turkana</v>
          </cell>
          <cell r="Q44" t="str">
            <v>District43</v>
          </cell>
          <cell r="Z44" t="str">
            <v>Local150</v>
          </cell>
          <cell r="AB44" t="str">
            <v>Loitoktok District</v>
          </cell>
          <cell r="AS44" t="str">
            <v>Stanbic Bank Kenya Ltd</v>
          </cell>
        </row>
        <row r="45">
          <cell r="N45" t="str">
            <v>KISANANA</v>
          </cell>
          <cell r="P45" t="str">
            <v>Uasin Gishu</v>
          </cell>
          <cell r="Q45" t="str">
            <v>District44</v>
          </cell>
          <cell r="Z45" t="str">
            <v>Local153</v>
          </cell>
          <cell r="AB45" t="str">
            <v>Kajiado South District</v>
          </cell>
          <cell r="AS45" t="str">
            <v>Standard Chartered Bank Kenya Ltd</v>
          </cell>
        </row>
        <row r="46">
          <cell r="N46" t="str">
            <v>KISASI</v>
          </cell>
          <cell r="P46" t="str">
            <v>Vihiga</v>
          </cell>
          <cell r="Q46" t="str">
            <v>District45</v>
          </cell>
          <cell r="Z46" t="str">
            <v>Local152</v>
          </cell>
          <cell r="AB46" t="str">
            <v>Kajiado Central District</v>
          </cell>
          <cell r="AS46" t="str">
            <v>Trans-National Bank Ltd</v>
          </cell>
        </row>
        <row r="47">
          <cell r="N47" t="str">
            <v>KISERIAN</v>
          </cell>
          <cell r="P47" t="str">
            <v>Wajir</v>
          </cell>
          <cell r="Q47" t="str">
            <v>District46</v>
          </cell>
          <cell r="Z47" t="str">
            <v>Local208</v>
          </cell>
          <cell r="AB47" t="str">
            <v>Kakamega South District</v>
          </cell>
          <cell r="AS47" t="str">
            <v>Victoria Commercial Bank Ltd</v>
          </cell>
        </row>
        <row r="48">
          <cell r="N48" t="str">
            <v>KISII</v>
          </cell>
          <cell r="P48" t="str">
            <v>West Pokot</v>
          </cell>
          <cell r="Q48" t="str">
            <v>District47</v>
          </cell>
          <cell r="Z48" t="str">
            <v>Local209</v>
          </cell>
          <cell r="AB48" t="str">
            <v>Lugari District</v>
          </cell>
        </row>
        <row r="49">
          <cell r="N49" t="str">
            <v>KISUMU</v>
          </cell>
          <cell r="Z49" t="str">
            <v>Local204</v>
          </cell>
          <cell r="AB49" t="str">
            <v>Butere District</v>
          </cell>
        </row>
        <row r="50">
          <cell r="N50" t="str">
            <v>KITALE</v>
          </cell>
          <cell r="Z50" t="str">
            <v>Local203</v>
          </cell>
          <cell r="AB50" t="str">
            <v>Mumias District</v>
          </cell>
        </row>
        <row r="51">
          <cell r="N51" t="str">
            <v>KITENGELA</v>
          </cell>
          <cell r="Z51" t="str">
            <v>Local205</v>
          </cell>
          <cell r="AB51" t="str">
            <v>Kakamega Central District</v>
          </cell>
        </row>
        <row r="52">
          <cell r="N52" t="str">
            <v>KITHIMANI</v>
          </cell>
          <cell r="Z52" t="str">
            <v>Local207</v>
          </cell>
          <cell r="AB52" t="str">
            <v>Kakamega North District</v>
          </cell>
        </row>
        <row r="53">
          <cell r="N53" t="str">
            <v>KITHIMU</v>
          </cell>
          <cell r="Z53" t="str">
            <v>Local206</v>
          </cell>
          <cell r="AB53" t="str">
            <v>Kakamega East District</v>
          </cell>
        </row>
        <row r="54">
          <cell r="N54" t="str">
            <v>KITHYOKO</v>
          </cell>
          <cell r="Z54" t="str">
            <v>Local154</v>
          </cell>
          <cell r="AB54" t="str">
            <v>Kericho District</v>
          </cell>
        </row>
        <row r="55">
          <cell r="N55" t="str">
            <v>KITISE</v>
          </cell>
          <cell r="Z55" t="str">
            <v>Local155</v>
          </cell>
          <cell r="AB55" t="str">
            <v>Kipkelion District</v>
          </cell>
        </row>
        <row r="56">
          <cell r="N56" t="str">
            <v>KITIVO</v>
          </cell>
          <cell r="Z56" t="str">
            <v>Local4</v>
          </cell>
          <cell r="AB56" t="str">
            <v>Kandara District</v>
          </cell>
        </row>
        <row r="57">
          <cell r="D57" t="str">
            <v>Head Office</v>
          </cell>
          <cell r="N57" t="str">
            <v>KITUI</v>
          </cell>
          <cell r="Z57" t="str">
            <v>Local5</v>
          </cell>
          <cell r="AB57" t="str">
            <v>Kiambaa District</v>
          </cell>
        </row>
        <row r="58">
          <cell r="D58" t="str">
            <v>Branch</v>
          </cell>
          <cell r="N58" t="str">
            <v>KIUNYU</v>
          </cell>
          <cell r="Z58" t="str">
            <v>Local2</v>
          </cell>
          <cell r="AB58" t="str">
            <v>Githunguri District</v>
          </cell>
        </row>
        <row r="59">
          <cell r="N59" t="str">
            <v>KIUSYANI</v>
          </cell>
          <cell r="Z59" t="str">
            <v>Local3</v>
          </cell>
          <cell r="AB59" t="str">
            <v>Kabete District</v>
          </cell>
        </row>
        <row r="60">
          <cell r="N60" t="str">
            <v>KIVAANI</v>
          </cell>
          <cell r="Z60" t="str">
            <v>Local6</v>
          </cell>
          <cell r="AB60" t="str">
            <v>Kiambu East District</v>
          </cell>
        </row>
        <row r="61">
          <cell r="D61">
            <v>2001</v>
          </cell>
          <cell r="N61" t="str">
            <v>KIVUNGA</v>
          </cell>
          <cell r="Z61" t="str">
            <v>Local9</v>
          </cell>
          <cell r="AB61" t="str">
            <v>Thika East District</v>
          </cell>
        </row>
        <row r="62">
          <cell r="D62">
            <v>2002</v>
          </cell>
          <cell r="N62" t="str">
            <v>KOBUJOI</v>
          </cell>
          <cell r="Z62" t="str">
            <v>Local8</v>
          </cell>
          <cell r="AB62" t="str">
            <v>Ruiru District</v>
          </cell>
        </row>
        <row r="63">
          <cell r="D63">
            <v>2003</v>
          </cell>
          <cell r="N63" t="str">
            <v>KOCHOLYA</v>
          </cell>
          <cell r="Z63" t="str">
            <v>Local1</v>
          </cell>
          <cell r="AB63" t="str">
            <v>Gatundu District</v>
          </cell>
        </row>
        <row r="64">
          <cell r="D64">
            <v>2004</v>
          </cell>
          <cell r="N64" t="str">
            <v>KODULA</v>
          </cell>
          <cell r="Z64" t="str">
            <v>Local7</v>
          </cell>
          <cell r="AB64" t="str">
            <v>Kiambu West District</v>
          </cell>
        </row>
        <row r="65">
          <cell r="D65">
            <v>2005</v>
          </cell>
          <cell r="N65" t="str">
            <v>KOIGE</v>
          </cell>
          <cell r="Z65" t="str">
            <v>Local11</v>
          </cell>
          <cell r="AB65" t="str">
            <v>Lari District</v>
          </cell>
        </row>
        <row r="66">
          <cell r="D66">
            <v>2006</v>
          </cell>
          <cell r="N66" t="str">
            <v>KOILOT</v>
          </cell>
          <cell r="Z66" t="str">
            <v>Local10</v>
          </cell>
          <cell r="AB66" t="str">
            <v>Thika West District</v>
          </cell>
        </row>
        <row r="67">
          <cell r="D67">
            <v>2007</v>
          </cell>
          <cell r="N67" t="str">
            <v>KOIWA</v>
          </cell>
          <cell r="Z67" t="str">
            <v>Local32</v>
          </cell>
          <cell r="AB67" t="str">
            <v>Kilifi District</v>
          </cell>
        </row>
        <row r="68">
          <cell r="D68">
            <v>2008</v>
          </cell>
          <cell r="N68" t="str">
            <v>KOJWANG</v>
          </cell>
          <cell r="Z68" t="str">
            <v>Local33</v>
          </cell>
          <cell r="AB68" t="str">
            <v>Malindi District</v>
          </cell>
        </row>
        <row r="69">
          <cell r="D69">
            <v>2009</v>
          </cell>
          <cell r="N69" t="str">
            <v>KOLA</v>
          </cell>
          <cell r="Z69" t="str">
            <v>Local34</v>
          </cell>
          <cell r="AB69" t="str">
            <v>Kaloleni District</v>
          </cell>
        </row>
        <row r="70">
          <cell r="D70">
            <v>2010</v>
          </cell>
          <cell r="N70" t="str">
            <v>KOLANYA</v>
          </cell>
          <cell r="Z70" t="str">
            <v>Local14</v>
          </cell>
          <cell r="AB70" t="str">
            <v>Kirinyaga South District</v>
          </cell>
        </row>
        <row r="71">
          <cell r="D71">
            <v>2011</v>
          </cell>
          <cell r="N71" t="str">
            <v>KOMBEWA</v>
          </cell>
          <cell r="Z71" t="str">
            <v>Local15</v>
          </cell>
          <cell r="AB71" t="str">
            <v>Kirinyaga West District</v>
          </cell>
        </row>
        <row r="72">
          <cell r="D72">
            <v>2012</v>
          </cell>
          <cell r="N72" t="str">
            <v>KONDELE</v>
          </cell>
          <cell r="Z72" t="str">
            <v>Local12</v>
          </cell>
          <cell r="AB72" t="str">
            <v>Kirinyaga Central District</v>
          </cell>
        </row>
        <row r="73">
          <cell r="N73" t="str">
            <v>KONDIK</v>
          </cell>
          <cell r="Z73" t="str">
            <v>Local13</v>
          </cell>
          <cell r="AB73" t="str">
            <v>Kirinyaga East District</v>
          </cell>
        </row>
        <row r="74">
          <cell r="N74" t="str">
            <v>KONZA</v>
          </cell>
          <cell r="Z74" t="str">
            <v>Local114</v>
          </cell>
          <cell r="AB74" t="str">
            <v>Kanyanya District</v>
          </cell>
        </row>
        <row r="75">
          <cell r="D75" t="str">
            <v>Resident</v>
          </cell>
          <cell r="N75" t="str">
            <v>KOPOLO</v>
          </cell>
          <cell r="Z75" t="str">
            <v>Local115</v>
          </cell>
          <cell r="AB75" t="str">
            <v>Kisii Central District</v>
          </cell>
        </row>
        <row r="76">
          <cell r="D76" t="str">
            <v>Non - Resident</v>
          </cell>
          <cell r="N76" t="str">
            <v>KORACHA</v>
          </cell>
          <cell r="Z76" t="str">
            <v>Local112</v>
          </cell>
          <cell r="AB76" t="str">
            <v>Gucha North District</v>
          </cell>
        </row>
        <row r="77">
          <cell r="N77" t="str">
            <v>KORU</v>
          </cell>
          <cell r="Z77" t="str">
            <v>Local113</v>
          </cell>
          <cell r="AB77" t="str">
            <v>Gucha South District</v>
          </cell>
        </row>
        <row r="78">
          <cell r="N78" t="str">
            <v>KOYONZO</v>
          </cell>
          <cell r="Z78" t="str">
            <v>Local118</v>
          </cell>
          <cell r="AB78" t="str">
            <v>North Masaba District</v>
          </cell>
        </row>
        <row r="79">
          <cell r="N79" t="str">
            <v>KURABEI</v>
          </cell>
          <cell r="Z79" t="str">
            <v>Local119</v>
          </cell>
          <cell r="AB79" t="str">
            <v>Nyamache District</v>
          </cell>
        </row>
        <row r="80">
          <cell r="N80" t="str">
            <v>KUTUS</v>
          </cell>
          <cell r="Z80" t="str">
            <v>Local116</v>
          </cell>
          <cell r="AB80" t="str">
            <v>Kisii South District</v>
          </cell>
        </row>
        <row r="81">
          <cell r="N81" t="str">
            <v>KWALE</v>
          </cell>
          <cell r="Z81" t="str">
            <v>Local117</v>
          </cell>
          <cell r="AB81" t="str">
            <v>Masaba District</v>
          </cell>
        </row>
        <row r="82">
          <cell r="N82" t="str">
            <v>KWANZA</v>
          </cell>
          <cell r="Z82" t="str">
            <v>Local120</v>
          </cell>
          <cell r="AB82" t="str">
            <v>Kisumu East District</v>
          </cell>
        </row>
        <row r="83">
          <cell r="D83" t="str">
            <v>Listed</v>
          </cell>
          <cell r="N83" t="str">
            <v>KWAVONZA</v>
          </cell>
          <cell r="Z83" t="str">
            <v>Local58</v>
          </cell>
          <cell r="AB83" t="str">
            <v>Mutomo District</v>
          </cell>
        </row>
        <row r="84">
          <cell r="D84" t="str">
            <v>Unlisted</v>
          </cell>
          <cell r="N84" t="str">
            <v>KYENI</v>
          </cell>
          <cell r="Z84" t="str">
            <v>Local59</v>
          </cell>
          <cell r="AB84" t="str">
            <v>Mwingi District</v>
          </cell>
        </row>
        <row r="85">
          <cell r="N85" t="str">
            <v>KYUSO</v>
          </cell>
          <cell r="Z85" t="str">
            <v>Local57</v>
          </cell>
          <cell r="AB85" t="str">
            <v>Mutitu District</v>
          </cell>
        </row>
        <row r="86">
          <cell r="N86" t="str">
            <v>LAARE</v>
          </cell>
          <cell r="Z86" t="str">
            <v>Local54</v>
          </cell>
          <cell r="AB86" t="str">
            <v>Kitui Central District</v>
          </cell>
        </row>
        <row r="87">
          <cell r="D87" t="str">
            <v>January</v>
          </cell>
          <cell r="N87" t="str">
            <v>LABORET</v>
          </cell>
          <cell r="Z87" t="str">
            <v>Local55</v>
          </cell>
          <cell r="AB87" t="str">
            <v>Kitui West District</v>
          </cell>
        </row>
        <row r="88">
          <cell r="D88" t="str">
            <v>February</v>
          </cell>
          <cell r="N88" t="str">
            <v>LABUIYWO</v>
          </cell>
          <cell r="Z88" t="str">
            <v>Local56</v>
          </cell>
          <cell r="AB88" t="str">
            <v>Kyuso District</v>
          </cell>
        </row>
        <row r="89">
          <cell r="D89" t="str">
            <v>March</v>
          </cell>
          <cell r="N89" t="str">
            <v>LADHRI AWASI</v>
          </cell>
          <cell r="Z89" t="str">
            <v>Local36</v>
          </cell>
          <cell r="AB89" t="str">
            <v>Kwale District</v>
          </cell>
        </row>
        <row r="90">
          <cell r="A90" t="str">
            <v xml:space="preserve">  in proper format(dd/mm/yyyy).</v>
          </cell>
          <cell r="D90" t="str">
            <v>April</v>
          </cell>
          <cell r="N90" t="str">
            <v>LAMU</v>
          </cell>
          <cell r="Z90" t="str">
            <v>Local35</v>
          </cell>
          <cell r="AB90" t="str">
            <v>Kinango District</v>
          </cell>
        </row>
        <row r="91">
          <cell r="A91" t="str">
            <v>Please enter numeric value Only.</v>
          </cell>
          <cell r="D91" t="str">
            <v>May</v>
          </cell>
          <cell r="N91" t="str">
            <v>LAMURIA</v>
          </cell>
          <cell r="Z91" t="str">
            <v>Local38</v>
          </cell>
          <cell r="AB91" t="str">
            <v>Matuga</v>
          </cell>
        </row>
        <row r="92">
          <cell r="A92" t="str">
            <v>Please enter alphanumeric value. Only Special characters like (space , . / - # :) are allowed.</v>
          </cell>
          <cell r="D92" t="str">
            <v>June</v>
          </cell>
          <cell r="N92" t="str">
            <v>LANET</v>
          </cell>
          <cell r="Z92" t="str">
            <v>Local37</v>
          </cell>
          <cell r="AB92" t="str">
            <v>Msabweni District</v>
          </cell>
        </row>
        <row r="93">
          <cell r="D93" t="str">
            <v>July</v>
          </cell>
          <cell r="N93" t="str">
            <v>LANGAS</v>
          </cell>
          <cell r="Z93" t="str">
            <v>Local158</v>
          </cell>
          <cell r="AB93" t="str">
            <v>Laikipia West District</v>
          </cell>
        </row>
        <row r="94">
          <cell r="A94" t="str">
            <v xml:space="preserve"> is mandatory field.</v>
          </cell>
          <cell r="D94" t="str">
            <v>August</v>
          </cell>
          <cell r="N94" t="str">
            <v>LANGATA</v>
          </cell>
          <cell r="Z94" t="str">
            <v>Local159</v>
          </cell>
          <cell r="AB94" t="str">
            <v>Laikipia Central District</v>
          </cell>
        </row>
        <row r="95">
          <cell r="D95" t="str">
            <v>September</v>
          </cell>
          <cell r="N95" t="str">
            <v>LAVINGTON</v>
          </cell>
          <cell r="Z95" t="str">
            <v>Local160</v>
          </cell>
          <cell r="AB95" t="str">
            <v>Nyahururu District</v>
          </cell>
        </row>
        <row r="96">
          <cell r="D96" t="str">
            <v>October</v>
          </cell>
          <cell r="N96" t="str">
            <v>LELA</v>
          </cell>
          <cell r="Z96" t="str">
            <v>Local156</v>
          </cell>
          <cell r="AB96" t="str">
            <v>Laikipia East District</v>
          </cell>
        </row>
        <row r="97">
          <cell r="A97" t="str">
            <v>Please enter Date between Tax Period specified and in dd/mm/yyyy proper format.</v>
          </cell>
          <cell r="D97" t="str">
            <v>November</v>
          </cell>
          <cell r="N97" t="str">
            <v>LENGITA</v>
          </cell>
          <cell r="Z97" t="str">
            <v>Local157</v>
          </cell>
          <cell r="AB97" t="str">
            <v>Laikipia North District</v>
          </cell>
        </row>
        <row r="98">
          <cell r="A98" t="str">
            <v>Please Enter alphanumeric value. Special characters are not allowed.</v>
          </cell>
          <cell r="D98" t="str">
            <v>December</v>
          </cell>
          <cell r="N98" t="str">
            <v>LESERU</v>
          </cell>
          <cell r="Z98" t="str">
            <v>Local39</v>
          </cell>
          <cell r="AB98" t="str">
            <v>Lamu District</v>
          </cell>
        </row>
        <row r="99">
          <cell r="N99" t="str">
            <v>LESHAU</v>
          </cell>
          <cell r="Z99" t="str">
            <v>Local61</v>
          </cell>
          <cell r="AB99" t="str">
            <v>Kangundo District</v>
          </cell>
        </row>
        <row r="100">
          <cell r="N100" t="str">
            <v>LESSOS</v>
          </cell>
          <cell r="Z100" t="str">
            <v>Local62</v>
          </cell>
          <cell r="AB100" t="str">
            <v>Kathiani District</v>
          </cell>
        </row>
        <row r="101">
          <cell r="D101" t="str">
            <v>Yes</v>
          </cell>
          <cell r="N101" t="str">
            <v>LIKONI</v>
          </cell>
          <cell r="Z101" t="str">
            <v>Local63</v>
          </cell>
          <cell r="AB101" t="str">
            <v>Machakos District</v>
          </cell>
        </row>
        <row r="102">
          <cell r="D102" t="str">
            <v>No</v>
          </cell>
          <cell r="N102" t="str">
            <v>LIMURU</v>
          </cell>
          <cell r="Z102" t="str">
            <v>Local60</v>
          </cell>
          <cell r="AB102" t="str">
            <v>Masinga District</v>
          </cell>
        </row>
        <row r="103">
          <cell r="N103" t="str">
            <v>LITA</v>
          </cell>
          <cell r="Z103" t="str">
            <v>Local65</v>
          </cell>
          <cell r="AB103" t="str">
            <v>Yatta District</v>
          </cell>
        </row>
        <row r="104">
          <cell r="N104" t="str">
            <v>LITEIN</v>
          </cell>
          <cell r="Z104" t="str">
            <v>Local64</v>
          </cell>
          <cell r="AB104" t="str">
            <v>Mwala District</v>
          </cell>
        </row>
        <row r="105">
          <cell r="N105" t="str">
            <v>LODWAR</v>
          </cell>
          <cell r="Z105" t="str">
            <v>Local71</v>
          </cell>
          <cell r="AB105" t="str">
            <v>Mbooni West District</v>
          </cell>
        </row>
        <row r="106">
          <cell r="N106" t="str">
            <v>LOITOKITOK</v>
          </cell>
          <cell r="Z106" t="str">
            <v>Local66</v>
          </cell>
          <cell r="AB106" t="str">
            <v>Kathonzweni District</v>
          </cell>
        </row>
        <row r="107">
          <cell r="N107" t="str">
            <v>LOIYANGALANI</v>
          </cell>
          <cell r="Z107" t="str">
            <v>Local70</v>
          </cell>
          <cell r="AB107" t="str">
            <v>Mbooni East District</v>
          </cell>
        </row>
        <row r="108">
          <cell r="N108" t="str">
            <v>LOKICHAR</v>
          </cell>
          <cell r="Z108" t="str">
            <v>Local69</v>
          </cell>
          <cell r="AB108" t="str">
            <v>Makueni District</v>
          </cell>
        </row>
        <row r="109">
          <cell r="N109" t="str">
            <v>LOKICHOGGIO</v>
          </cell>
          <cell r="Z109" t="str">
            <v>Local72</v>
          </cell>
          <cell r="AB109" t="str">
            <v>Mukaa District</v>
          </cell>
        </row>
        <row r="110">
          <cell r="N110" t="str">
            <v>LOKITAUNG</v>
          </cell>
          <cell r="Z110" t="str">
            <v>Local73</v>
          </cell>
          <cell r="AB110" t="str">
            <v>Nzaui District</v>
          </cell>
        </row>
        <row r="111">
          <cell r="N111" t="str">
            <v>LOKORI</v>
          </cell>
          <cell r="Z111" t="str">
            <v>Local67</v>
          </cell>
          <cell r="AB111" t="str">
            <v>Kibwezi District</v>
          </cell>
        </row>
        <row r="112">
          <cell r="N112" t="str">
            <v>LOLGORIAN</v>
          </cell>
          <cell r="Z112" t="str">
            <v>Local68</v>
          </cell>
          <cell r="AB112" t="str">
            <v>Kilungu District</v>
          </cell>
        </row>
        <row r="113">
          <cell r="N113" t="str">
            <v>LOLWE</v>
          </cell>
          <cell r="Z113" t="str">
            <v>Local98</v>
          </cell>
          <cell r="AB113" t="str">
            <v>Mandera Central District</v>
          </cell>
        </row>
        <row r="114">
          <cell r="N114" t="str">
            <v>LONDIAN</v>
          </cell>
          <cell r="Z114" t="str">
            <v>Local99</v>
          </cell>
          <cell r="AB114" t="str">
            <v>Mandera East District</v>
          </cell>
        </row>
        <row r="115">
          <cell r="N115" t="str">
            <v>LONGISA</v>
          </cell>
          <cell r="Z115" t="str">
            <v>Local101</v>
          </cell>
          <cell r="AB115" t="str">
            <v>Mandera West District</v>
          </cell>
        </row>
        <row r="116">
          <cell r="N116" t="str">
            <v>LONGONOT</v>
          </cell>
          <cell r="Z116" t="str">
            <v>Local100</v>
          </cell>
          <cell r="AB116" t="str">
            <v>Mandera North District</v>
          </cell>
        </row>
        <row r="117">
          <cell r="N117" t="str">
            <v>LORUGUM</v>
          </cell>
          <cell r="Z117" t="str">
            <v>Local74</v>
          </cell>
          <cell r="AB117" t="str">
            <v>Marsabit District</v>
          </cell>
        </row>
        <row r="118">
          <cell r="N118" t="str">
            <v>LOWER KABETE</v>
          </cell>
          <cell r="Z118" t="str">
            <v>Local75</v>
          </cell>
          <cell r="AB118" t="str">
            <v>Marsabit North District</v>
          </cell>
        </row>
        <row r="119">
          <cell r="N119" t="str">
            <v>LUANDA</v>
          </cell>
          <cell r="Z119" t="str">
            <v>Local77</v>
          </cell>
          <cell r="AB119" t="str">
            <v>Moyale District</v>
          </cell>
        </row>
        <row r="120">
          <cell r="N120" t="str">
            <v>LUANDANYI</v>
          </cell>
          <cell r="Z120" t="str">
            <v>Local76</v>
          </cell>
          <cell r="AB120" t="str">
            <v>Marsabit South District</v>
          </cell>
        </row>
        <row r="121">
          <cell r="N121" t="str">
            <v>LUANDETI</v>
          </cell>
          <cell r="Z121" t="str">
            <v>Local81</v>
          </cell>
          <cell r="AB121" t="str">
            <v>Igembe South District</v>
          </cell>
        </row>
        <row r="122">
          <cell r="N122" t="str">
            <v>LUBAO</v>
          </cell>
          <cell r="Z122" t="str">
            <v>Local82</v>
          </cell>
          <cell r="AB122" t="str">
            <v>Imenti North District</v>
          </cell>
        </row>
        <row r="123">
          <cell r="N123" t="str">
            <v>LUGARI</v>
          </cell>
          <cell r="Z123" t="str">
            <v>Local80</v>
          </cell>
          <cell r="AB123" t="str">
            <v>Igembe North District</v>
          </cell>
        </row>
        <row r="124">
          <cell r="N124" t="str">
            <v>LUGINGO</v>
          </cell>
          <cell r="Z124" t="str">
            <v>Local78</v>
          </cell>
          <cell r="AB124" t="str">
            <v>Maara District</v>
          </cell>
        </row>
        <row r="125">
          <cell r="N125" t="str">
            <v>LUGULU</v>
          </cell>
          <cell r="Z125" t="str">
            <v>Local79</v>
          </cell>
          <cell r="AB125" t="str">
            <v>Buuri District</v>
          </cell>
        </row>
        <row r="126">
          <cell r="N126" t="str">
            <v>LUHANO</v>
          </cell>
          <cell r="Z126" t="str">
            <v>Local86</v>
          </cell>
          <cell r="AB126" t="str">
            <v>Tigania East District</v>
          </cell>
        </row>
        <row r="127">
          <cell r="N127" t="str">
            <v>LUKOLIS</v>
          </cell>
          <cell r="Z127" t="str">
            <v>Local87</v>
          </cell>
          <cell r="AB127" t="str">
            <v>Tigania West District</v>
          </cell>
        </row>
        <row r="128">
          <cell r="N128" t="str">
            <v>LUKORE</v>
          </cell>
          <cell r="Z128" t="str">
            <v>Local85</v>
          </cell>
          <cell r="AB128" t="str">
            <v>Meru South District</v>
          </cell>
        </row>
        <row r="129">
          <cell r="N129" t="str">
            <v>LUKUME</v>
          </cell>
          <cell r="Z129" t="str">
            <v>Local83</v>
          </cell>
          <cell r="AB129" t="str">
            <v>Imenti South District</v>
          </cell>
        </row>
        <row r="130">
          <cell r="N130" t="str">
            <v>LUKUSI</v>
          </cell>
          <cell r="Z130" t="str">
            <v>Local84</v>
          </cell>
          <cell r="AB130" t="str">
            <v>Meru Central District</v>
          </cell>
        </row>
        <row r="131">
          <cell r="N131" t="str">
            <v>LUMAKANDA</v>
          </cell>
          <cell r="Z131" t="str">
            <v>Local127</v>
          </cell>
          <cell r="AB131" t="str">
            <v>Nyatike District</v>
          </cell>
        </row>
        <row r="132">
          <cell r="N132" t="str">
            <v>LUNGALUNGA</v>
          </cell>
          <cell r="Z132" t="str">
            <v>Local126</v>
          </cell>
          <cell r="AB132" t="str">
            <v>Migori District</v>
          </cell>
        </row>
        <row r="133">
          <cell r="N133" t="str">
            <v>LUNZA</v>
          </cell>
          <cell r="Z133" t="str">
            <v>Local129</v>
          </cell>
          <cell r="AB133" t="str">
            <v>Uriri District</v>
          </cell>
        </row>
        <row r="134">
          <cell r="N134" t="str">
            <v>LURAMBI</v>
          </cell>
          <cell r="Z134" t="str">
            <v>Local128</v>
          </cell>
          <cell r="AB134" t="str">
            <v>Rongo District</v>
          </cell>
        </row>
        <row r="135">
          <cell r="N135" t="str">
            <v>LUSINGETI</v>
          </cell>
          <cell r="Z135" t="str">
            <v>Local124</v>
          </cell>
          <cell r="AB135" t="str">
            <v>Kuria East District</v>
          </cell>
        </row>
        <row r="136">
          <cell r="N136" t="str">
            <v>LUSIOLA</v>
          </cell>
          <cell r="Z136" t="str">
            <v>Local125</v>
          </cell>
          <cell r="AB136" t="str">
            <v>Kuria West District</v>
          </cell>
        </row>
        <row r="137">
          <cell r="N137" t="str">
            <v>LUTASO</v>
          </cell>
          <cell r="Z137" t="str">
            <v>Local40</v>
          </cell>
          <cell r="AB137" t="str">
            <v>Kilindini District</v>
          </cell>
        </row>
        <row r="138">
          <cell r="N138" t="str">
            <v>MAAI MAHIU</v>
          </cell>
          <cell r="Z138" t="str">
            <v>Local41</v>
          </cell>
          <cell r="AB138" t="str">
            <v>Mombasa District</v>
          </cell>
        </row>
        <row r="139">
          <cell r="N139" t="str">
            <v>MABUSI</v>
          </cell>
          <cell r="Z139" t="str">
            <v>Local18</v>
          </cell>
          <cell r="AB139" t="str">
            <v>Muranga East District</v>
          </cell>
        </row>
        <row r="140">
          <cell r="N140" t="str">
            <v>MACHAKOS</v>
          </cell>
          <cell r="Z140" t="str">
            <v>Local19</v>
          </cell>
          <cell r="AB140" t="str">
            <v>Muranga South District</v>
          </cell>
        </row>
        <row r="141">
          <cell r="N141" t="str">
            <v>MADARAKA</v>
          </cell>
          <cell r="Z141" t="str">
            <v>Local16</v>
          </cell>
          <cell r="AB141" t="str">
            <v>Kigumo District</v>
          </cell>
        </row>
        <row r="142">
          <cell r="N142" t="str">
            <v>MADEYA</v>
          </cell>
          <cell r="Z142" t="str">
            <v>Local17</v>
          </cell>
          <cell r="AB142" t="str">
            <v>Gatanga District</v>
          </cell>
        </row>
        <row r="143">
          <cell r="N143" t="str">
            <v>MADIANY</v>
          </cell>
          <cell r="Z143" t="str">
            <v>Local92</v>
          </cell>
          <cell r="AB143" t="str">
            <v>Nairobi West District</v>
          </cell>
        </row>
        <row r="144">
          <cell r="N144" t="str">
            <v>MADINA</v>
          </cell>
          <cell r="Z144" t="str">
            <v>Local93</v>
          </cell>
          <cell r="AB144" t="str">
            <v>Westlands District</v>
          </cell>
        </row>
        <row r="145">
          <cell r="N145" t="str">
            <v>MAGADA</v>
          </cell>
          <cell r="Z145" t="str">
            <v>Local90</v>
          </cell>
          <cell r="AB145" t="str">
            <v>Nairobi East District</v>
          </cell>
        </row>
        <row r="146">
          <cell r="N146" t="str">
            <v>MAGADI</v>
          </cell>
          <cell r="Z146" t="str">
            <v>Local91</v>
          </cell>
          <cell r="AB146" t="str">
            <v>Nairobi North District</v>
          </cell>
        </row>
        <row r="147">
          <cell r="N147" t="str">
            <v>MAGETA</v>
          </cell>
          <cell r="Z147" t="str">
            <v>Local164</v>
          </cell>
          <cell r="AB147" t="str">
            <v>Nakuru North District</v>
          </cell>
        </row>
        <row r="148">
          <cell r="N148" t="str">
            <v>MAGO</v>
          </cell>
          <cell r="Z148" t="str">
            <v>Local165</v>
          </cell>
          <cell r="AB148" t="str">
            <v>Njoro District</v>
          </cell>
        </row>
        <row r="149">
          <cell r="N149" t="str">
            <v>MAGOMBO</v>
          </cell>
          <cell r="Z149" t="str">
            <v>Local163</v>
          </cell>
          <cell r="AB149" t="str">
            <v>Nakuru District</v>
          </cell>
        </row>
        <row r="150">
          <cell r="N150" t="str">
            <v>MAGUMONI</v>
          </cell>
          <cell r="Z150" t="str">
            <v>Local161</v>
          </cell>
          <cell r="AB150" t="str">
            <v>Molo District</v>
          </cell>
        </row>
        <row r="151">
          <cell r="N151" t="str">
            <v>MAGUNGA</v>
          </cell>
          <cell r="Z151" t="str">
            <v>Local162</v>
          </cell>
          <cell r="AB151" t="str">
            <v>Naivasha District</v>
          </cell>
        </row>
        <row r="152">
          <cell r="N152" t="str">
            <v>MAGUTUNI</v>
          </cell>
          <cell r="Z152" t="str">
            <v>Local166</v>
          </cell>
          <cell r="AB152" t="str">
            <v>Nandi Central District</v>
          </cell>
        </row>
        <row r="153">
          <cell r="N153" t="str">
            <v>MAGWAGWA</v>
          </cell>
          <cell r="Z153" t="str">
            <v>Local167</v>
          </cell>
          <cell r="AB153" t="str">
            <v>Nandi East District</v>
          </cell>
        </row>
        <row r="154">
          <cell r="N154" t="str">
            <v>MAHANGA</v>
          </cell>
          <cell r="Z154" t="str">
            <v>Local170</v>
          </cell>
          <cell r="AB154" t="str">
            <v>Tinderet District</v>
          </cell>
        </row>
        <row r="155">
          <cell r="N155" t="str">
            <v>MAIELLA</v>
          </cell>
          <cell r="Z155" t="str">
            <v>Local169</v>
          </cell>
          <cell r="AB155" t="str">
            <v>Nandi South District</v>
          </cell>
        </row>
        <row r="156">
          <cell r="N156" t="str">
            <v>MAIRO INYA</v>
          </cell>
          <cell r="Z156" t="str">
            <v>Local168</v>
          </cell>
          <cell r="AB156" t="str">
            <v>Nandi North District</v>
          </cell>
        </row>
        <row r="157">
          <cell r="N157" t="str">
            <v>MAJI MAZURI</v>
          </cell>
          <cell r="Z157" t="str">
            <v>Local172</v>
          </cell>
          <cell r="AB157" t="str">
            <v>Narok North District</v>
          </cell>
        </row>
        <row r="158">
          <cell r="N158" t="str">
            <v>MAKIMENY</v>
          </cell>
          <cell r="Z158" t="str">
            <v>Local173</v>
          </cell>
          <cell r="AB158" t="str">
            <v>Narok South District</v>
          </cell>
        </row>
        <row r="159">
          <cell r="N159" t="str">
            <v>MAKINDU</v>
          </cell>
          <cell r="Z159" t="str">
            <v>Local171</v>
          </cell>
          <cell r="AB159" t="str">
            <v>Trans Mara District</v>
          </cell>
        </row>
        <row r="160">
          <cell r="N160" t="str">
            <v>MAKONGENI</v>
          </cell>
          <cell r="Z160" t="str">
            <v>Local133</v>
          </cell>
          <cell r="AB160" t="str">
            <v>Nyamira District</v>
          </cell>
        </row>
        <row r="161">
          <cell r="N161" t="str">
            <v>MAKTAU</v>
          </cell>
          <cell r="Z161" t="str">
            <v>Local134</v>
          </cell>
          <cell r="AB161" t="str">
            <v>Nyamira North District</v>
          </cell>
        </row>
        <row r="162">
          <cell r="N162" t="str">
            <v>MAKUENI</v>
          </cell>
          <cell r="Z162" t="str">
            <v>Local135</v>
          </cell>
          <cell r="AB162" t="str">
            <v>Kitutu District</v>
          </cell>
        </row>
        <row r="163">
          <cell r="N163" t="str">
            <v>MAKUMBI</v>
          </cell>
          <cell r="Z163" t="str">
            <v>Local130</v>
          </cell>
          <cell r="AB163" t="str">
            <v>Borabu District</v>
          </cell>
        </row>
        <row r="164">
          <cell r="N164" t="str">
            <v>MAKUNGA</v>
          </cell>
          <cell r="Z164" t="str">
            <v>Local131</v>
          </cell>
          <cell r="AB164" t="str">
            <v>Manga District</v>
          </cell>
        </row>
        <row r="165">
          <cell r="N165" t="str">
            <v>MAKUPA</v>
          </cell>
          <cell r="Z165" t="str">
            <v>Local132</v>
          </cell>
          <cell r="AB165" t="str">
            <v>Marani District</v>
          </cell>
        </row>
        <row r="166">
          <cell r="N166" t="str">
            <v>MAKUTANO</v>
          </cell>
          <cell r="Z166" t="str">
            <v>Local20</v>
          </cell>
          <cell r="AB166" t="str">
            <v>Kipipiri District</v>
          </cell>
        </row>
        <row r="167">
          <cell r="N167" t="str">
            <v>MAKUYU</v>
          </cell>
          <cell r="Z167" t="str">
            <v>Local21</v>
          </cell>
          <cell r="AB167" t="str">
            <v>Mirangini District</v>
          </cell>
        </row>
        <row r="168">
          <cell r="N168" t="str">
            <v>MALAHA</v>
          </cell>
          <cell r="Z168" t="str">
            <v>Local22</v>
          </cell>
          <cell r="AB168" t="str">
            <v>Nyandarua Central District</v>
          </cell>
        </row>
        <row r="169">
          <cell r="N169" t="str">
            <v>MALAKISI</v>
          </cell>
          <cell r="Z169" t="str">
            <v>Local25</v>
          </cell>
          <cell r="AB169" t="str">
            <v>Nyandarua West District</v>
          </cell>
        </row>
        <row r="170">
          <cell r="N170" t="str">
            <v>MALAVA</v>
          </cell>
          <cell r="Z170" t="str">
            <v>Local24</v>
          </cell>
          <cell r="AB170" t="str">
            <v>Nyandarua South District</v>
          </cell>
        </row>
        <row r="171">
          <cell r="N171" t="str">
            <v>MALIKI</v>
          </cell>
          <cell r="Z171" t="str">
            <v>Local23</v>
          </cell>
          <cell r="AB171" t="str">
            <v>Nyandarua North District</v>
          </cell>
        </row>
        <row r="172">
          <cell r="N172" t="str">
            <v>MALINDI</v>
          </cell>
          <cell r="Z172" t="str">
            <v>Local29</v>
          </cell>
          <cell r="AB172" t="str">
            <v>Nyeri Central District</v>
          </cell>
        </row>
        <row r="173">
          <cell r="N173" t="str">
            <v>MALINYA</v>
          </cell>
          <cell r="Z173" t="str">
            <v>Local31</v>
          </cell>
          <cell r="AB173" t="str">
            <v>Nyeri South District</v>
          </cell>
        </row>
        <row r="174">
          <cell r="N174" t="str">
            <v>MANDERA</v>
          </cell>
          <cell r="Z174" t="str">
            <v>Local30</v>
          </cell>
          <cell r="AB174" t="str">
            <v>Nyeri East District</v>
          </cell>
        </row>
        <row r="175">
          <cell r="N175" t="str">
            <v>MANGA</v>
          </cell>
          <cell r="Z175" t="str">
            <v>Local26</v>
          </cell>
          <cell r="AB175" t="str">
            <v>Kieni West District</v>
          </cell>
        </row>
        <row r="176">
          <cell r="N176" t="str">
            <v>MANYANI</v>
          </cell>
          <cell r="Z176" t="str">
            <v>Local27</v>
          </cell>
          <cell r="AB176" t="str">
            <v>Kieni East District</v>
          </cell>
        </row>
        <row r="177">
          <cell r="N177" t="str">
            <v>MANYATTA</v>
          </cell>
          <cell r="Z177" t="str">
            <v>Local28</v>
          </cell>
          <cell r="AB177" t="str">
            <v>Mukurueini District</v>
          </cell>
        </row>
        <row r="178">
          <cell r="N178" t="str">
            <v>MANYUANDA</v>
          </cell>
          <cell r="Z178" t="str">
            <v>Local176</v>
          </cell>
          <cell r="AB178" t="str">
            <v>Samburu North District</v>
          </cell>
        </row>
        <row r="179">
          <cell r="N179" t="str">
            <v>MANYULIA</v>
          </cell>
          <cell r="Z179" t="str">
            <v>Local175</v>
          </cell>
          <cell r="AB179" t="str">
            <v>Samburu East District</v>
          </cell>
        </row>
        <row r="180">
          <cell r="N180" t="str">
            <v>MARAGI</v>
          </cell>
          <cell r="Z180" t="str">
            <v>Local174</v>
          </cell>
          <cell r="AB180" t="str">
            <v>Samburu Central District</v>
          </cell>
        </row>
        <row r="181">
          <cell r="N181" t="str">
            <v>MARAGOLI</v>
          </cell>
          <cell r="Z181" t="str">
            <v>Local138</v>
          </cell>
          <cell r="AB181" t="str">
            <v>Siaya District</v>
          </cell>
        </row>
        <row r="182">
          <cell r="N182" t="str">
            <v>MARAGUA</v>
          </cell>
          <cell r="Z182" t="str">
            <v>Local137</v>
          </cell>
          <cell r="AB182" t="str">
            <v>Rarieda District</v>
          </cell>
        </row>
        <row r="183">
          <cell r="N183" t="str">
            <v>MARALAL</v>
          </cell>
          <cell r="Z183" t="str">
            <v>Local136</v>
          </cell>
          <cell r="AB183" t="str">
            <v>Bondo District</v>
          </cell>
        </row>
        <row r="184">
          <cell r="N184" t="str">
            <v>MARANI</v>
          </cell>
          <cell r="Z184" t="str">
            <v>Local45</v>
          </cell>
          <cell r="AB184" t="str">
            <v>Voi</v>
          </cell>
        </row>
        <row r="185">
          <cell r="N185" t="str">
            <v>MARIAKANI</v>
          </cell>
          <cell r="Z185" t="str">
            <v>Local44</v>
          </cell>
          <cell r="AB185" t="str">
            <v>Wundanyi</v>
          </cell>
        </row>
        <row r="186">
          <cell r="N186" t="str">
            <v>MARIGAT</v>
          </cell>
          <cell r="Z186" t="str">
            <v>Local42</v>
          </cell>
          <cell r="AB186" t="str">
            <v>Taita District</v>
          </cell>
        </row>
        <row r="187">
          <cell r="N187" t="str">
            <v>MARIMA</v>
          </cell>
          <cell r="Z187" t="str">
            <v>Local43</v>
          </cell>
          <cell r="AB187" t="str">
            <v>Taveta District</v>
          </cell>
        </row>
        <row r="188">
          <cell r="N188" t="str">
            <v>MARIMANTI</v>
          </cell>
          <cell r="Z188" t="str">
            <v>Local47</v>
          </cell>
          <cell r="AB188" t="str">
            <v>Tana River District</v>
          </cell>
        </row>
        <row r="189">
          <cell r="N189" t="str">
            <v>MARINDE</v>
          </cell>
          <cell r="Z189" t="str">
            <v>Local46</v>
          </cell>
          <cell r="AB189" t="str">
            <v>Tana Delta District</v>
          </cell>
        </row>
        <row r="190">
          <cell r="N190" t="str">
            <v>MARIWA</v>
          </cell>
          <cell r="Z190" t="str">
            <v>Local89</v>
          </cell>
          <cell r="AB190" t="str">
            <v>Tharaka South District</v>
          </cell>
        </row>
        <row r="191">
          <cell r="N191" t="str">
            <v>MARMANET</v>
          </cell>
          <cell r="Z191" t="str">
            <v>Local88</v>
          </cell>
          <cell r="AB191" t="str">
            <v>Tharaka North District</v>
          </cell>
        </row>
        <row r="192">
          <cell r="N192" t="str">
            <v>MARSABIT</v>
          </cell>
          <cell r="Z192" t="str">
            <v>Local177</v>
          </cell>
          <cell r="AB192" t="str">
            <v>Trans Nzoia East District</v>
          </cell>
        </row>
        <row r="193">
          <cell r="N193" t="str">
            <v>MARSABIT</v>
          </cell>
          <cell r="Z193" t="str">
            <v>Local178</v>
          </cell>
          <cell r="AB193" t="str">
            <v>Trans Nzoia West District</v>
          </cell>
        </row>
        <row r="194">
          <cell r="N194" t="str">
            <v>MARUA</v>
          </cell>
          <cell r="Z194" t="str">
            <v>Local179</v>
          </cell>
          <cell r="AB194" t="str">
            <v>Kwanza District</v>
          </cell>
        </row>
        <row r="195">
          <cell r="N195" t="str">
            <v>MASANA</v>
          </cell>
          <cell r="Z195" t="str">
            <v>Local183</v>
          </cell>
          <cell r="AB195" t="str">
            <v>Turkana South District</v>
          </cell>
        </row>
        <row r="196">
          <cell r="N196" t="str">
            <v>MASENO</v>
          </cell>
          <cell r="Z196" t="str">
            <v>Local184</v>
          </cell>
          <cell r="AB196" t="str">
            <v>Turkana West District</v>
          </cell>
        </row>
        <row r="197">
          <cell r="N197" t="str">
            <v>MASHINI</v>
          </cell>
          <cell r="Z197" t="str">
            <v>Local185</v>
          </cell>
          <cell r="AB197" t="str">
            <v>Loima District</v>
          </cell>
        </row>
        <row r="198">
          <cell r="N198" t="str">
            <v>MASHURU</v>
          </cell>
          <cell r="Z198" t="str">
            <v>Local180</v>
          </cell>
          <cell r="AB198" t="str">
            <v>Turkana Central District</v>
          </cell>
        </row>
        <row r="199">
          <cell r="N199" t="str">
            <v>MASII</v>
          </cell>
          <cell r="Z199" t="str">
            <v>Local181</v>
          </cell>
          <cell r="AB199" t="str">
            <v>Turkana East District</v>
          </cell>
        </row>
        <row r="200">
          <cell r="N200" t="str">
            <v>MASIMBA</v>
          </cell>
          <cell r="Z200" t="str">
            <v>Local182</v>
          </cell>
          <cell r="AB200" t="str">
            <v>Turkana North District</v>
          </cell>
        </row>
        <row r="201">
          <cell r="N201" t="str">
            <v>MASINGA</v>
          </cell>
          <cell r="Z201" t="str">
            <v>Local187</v>
          </cell>
          <cell r="AB201" t="str">
            <v>Eldoret West District</v>
          </cell>
        </row>
        <row r="202">
          <cell r="N202" t="str">
            <v>MATAARA</v>
          </cell>
          <cell r="Z202" t="str">
            <v>Local186</v>
          </cell>
          <cell r="AB202" t="str">
            <v>Eldoret East District</v>
          </cell>
        </row>
        <row r="203">
          <cell r="N203" t="str">
            <v>ADUNGOSI</v>
          </cell>
          <cell r="Z203" t="str">
            <v>Local188</v>
          </cell>
          <cell r="AB203" t="str">
            <v>Wareng District</v>
          </cell>
        </row>
        <row r="204">
          <cell r="N204" t="str">
            <v>AGENGA</v>
          </cell>
          <cell r="Z204" t="str">
            <v>Local210</v>
          </cell>
          <cell r="AB204" t="str">
            <v>Emuhaya District</v>
          </cell>
        </row>
        <row r="205">
          <cell r="N205" t="str">
            <v>AHERO</v>
          </cell>
          <cell r="Z205" t="str">
            <v>Local211</v>
          </cell>
          <cell r="AB205" t="str">
            <v>Hamisi District</v>
          </cell>
        </row>
        <row r="206">
          <cell r="N206" t="str">
            <v>AINABKOI</v>
          </cell>
          <cell r="Z206" t="str">
            <v>Local212</v>
          </cell>
          <cell r="AB206" t="str">
            <v>Vihiga District</v>
          </cell>
        </row>
        <row r="207">
          <cell r="N207" t="str">
            <v>AKADO</v>
          </cell>
          <cell r="Z207" t="str">
            <v>Local102</v>
          </cell>
          <cell r="AB207" t="str">
            <v>Wajir East District</v>
          </cell>
        </row>
        <row r="208">
          <cell r="N208" t="str">
            <v>AKALA</v>
          </cell>
          <cell r="Z208" t="str">
            <v>Local103</v>
          </cell>
          <cell r="AB208" t="str">
            <v>Wajir North District</v>
          </cell>
        </row>
        <row r="209">
          <cell r="N209" t="str">
            <v>ALUOR</v>
          </cell>
          <cell r="Z209" t="str">
            <v>Local105</v>
          </cell>
          <cell r="AB209" t="str">
            <v>Wajir West District</v>
          </cell>
        </row>
        <row r="210">
          <cell r="N210" t="str">
            <v>ALUPE</v>
          </cell>
          <cell r="Z210" t="str">
            <v>Local104</v>
          </cell>
          <cell r="AB210" t="str">
            <v>Wajir South District</v>
          </cell>
        </row>
        <row r="211">
          <cell r="N211" t="str">
            <v>AMAGORO</v>
          </cell>
          <cell r="Z211" t="str">
            <v>Local189</v>
          </cell>
          <cell r="AB211" t="str">
            <v>North Pokot District</v>
          </cell>
        </row>
        <row r="212">
          <cell r="N212" t="str">
            <v>AMUKURA</v>
          </cell>
          <cell r="Z212" t="str">
            <v>Local190</v>
          </cell>
          <cell r="AB212" t="str">
            <v>Pokot Central District</v>
          </cell>
        </row>
        <row r="213">
          <cell r="N213" t="str">
            <v>ANDINGO</v>
          </cell>
          <cell r="Z213" t="str">
            <v>Local191</v>
          </cell>
          <cell r="AB213" t="str">
            <v>West Pokot District</v>
          </cell>
        </row>
        <row r="214">
          <cell r="N214" t="str">
            <v>ANGURAI</v>
          </cell>
        </row>
        <row r="215">
          <cell r="N215" t="str">
            <v>ANYIKO</v>
          </cell>
        </row>
        <row r="216">
          <cell r="N216" t="str">
            <v>ANYUONGI</v>
          </cell>
        </row>
        <row r="217">
          <cell r="N217" t="str">
            <v>ARAM</v>
          </cell>
        </row>
        <row r="218">
          <cell r="N218" t="str">
            <v>ARROR</v>
          </cell>
        </row>
        <row r="219">
          <cell r="N219" t="str">
            <v>ASEMBO BAY</v>
          </cell>
        </row>
        <row r="220">
          <cell r="N220" t="str">
            <v>ASUMBI</v>
          </cell>
        </row>
        <row r="221">
          <cell r="N221" t="str">
            <v>ATHI RIVER</v>
          </cell>
        </row>
        <row r="222">
          <cell r="N222" t="str">
            <v>AWACH BRIDGE</v>
          </cell>
        </row>
        <row r="223">
          <cell r="N223" t="str">
            <v>AWACH TENDE</v>
          </cell>
        </row>
        <row r="224">
          <cell r="N224" t="str">
            <v>BAHATI</v>
          </cell>
        </row>
        <row r="225">
          <cell r="N225" t="str">
            <v>BAMBA</v>
          </cell>
        </row>
        <row r="226">
          <cell r="N226" t="str">
            <v>BAMBURI</v>
          </cell>
        </row>
        <row r="227">
          <cell r="N227" t="str">
            <v>BANJA</v>
          </cell>
        </row>
        <row r="228">
          <cell r="N228" t="str">
            <v>BAR OBER</v>
          </cell>
        </row>
        <row r="229">
          <cell r="N229" t="str">
            <v>BARAGOI</v>
          </cell>
        </row>
        <row r="230">
          <cell r="N230" t="str">
            <v>BARATON</v>
          </cell>
        </row>
        <row r="231">
          <cell r="N231" t="str">
            <v>BARICHO</v>
          </cell>
        </row>
        <row r="232">
          <cell r="N232" t="str">
            <v>BARTABWA</v>
          </cell>
        </row>
        <row r="233">
          <cell r="N233" t="str">
            <v>BARTOLIMO</v>
          </cell>
        </row>
        <row r="234">
          <cell r="N234" t="str">
            <v>BARWESA</v>
          </cell>
        </row>
        <row r="235">
          <cell r="N235" t="str">
            <v>BIBIRIONI</v>
          </cell>
        </row>
        <row r="236">
          <cell r="N236" t="str">
            <v>BISSIL</v>
          </cell>
        </row>
        <row r="237">
          <cell r="N237" t="str">
            <v>BOITO</v>
          </cell>
        </row>
        <row r="238">
          <cell r="N238" t="str">
            <v>BOKOLI</v>
          </cell>
        </row>
        <row r="239">
          <cell r="N239" t="str">
            <v>BOMET</v>
          </cell>
        </row>
        <row r="240">
          <cell r="N240" t="str">
            <v>BONDENI</v>
          </cell>
        </row>
        <row r="241">
          <cell r="N241" t="str">
            <v>BONDO</v>
          </cell>
        </row>
        <row r="242">
          <cell r="N242" t="str">
            <v>BORO</v>
          </cell>
        </row>
        <row r="243">
          <cell r="N243" t="str">
            <v>BUDALANGI</v>
          </cell>
        </row>
        <row r="244">
          <cell r="N244" t="str">
            <v>BUGAR</v>
          </cell>
        </row>
        <row r="245">
          <cell r="N245" t="str">
            <v>BUHUYI</v>
          </cell>
        </row>
        <row r="246">
          <cell r="N246" t="str">
            <v>BUKEBE</v>
          </cell>
        </row>
        <row r="247">
          <cell r="N247" t="str">
            <v>BUKIRI</v>
          </cell>
        </row>
        <row r="248">
          <cell r="N248" t="str">
            <v>BUKURA</v>
          </cell>
        </row>
        <row r="249">
          <cell r="N249" t="str">
            <v>BULIMBO</v>
          </cell>
        </row>
        <row r="250">
          <cell r="N250" t="str">
            <v>BUMALA</v>
          </cell>
        </row>
        <row r="251">
          <cell r="N251" t="str">
            <v>BUMUTIRU</v>
          </cell>
        </row>
        <row r="252">
          <cell r="N252" t="str">
            <v>BUNGOMA</v>
          </cell>
        </row>
        <row r="253">
          <cell r="N253" t="str">
            <v>BUNYORE</v>
          </cell>
        </row>
        <row r="254">
          <cell r="N254" t="str">
            <v>BURA TANA</v>
          </cell>
        </row>
        <row r="255">
          <cell r="N255" t="str">
            <v>BURNT FOREST</v>
          </cell>
        </row>
        <row r="256">
          <cell r="N256" t="str">
            <v>BURU BURU</v>
          </cell>
        </row>
        <row r="257">
          <cell r="N257" t="str">
            <v>BUSIA</v>
          </cell>
        </row>
        <row r="258">
          <cell r="N258" t="str">
            <v>BUTERE</v>
          </cell>
        </row>
        <row r="259">
          <cell r="N259" t="str">
            <v>BUTULA</v>
          </cell>
        </row>
        <row r="260">
          <cell r="N260" t="str">
            <v>BUYOFU</v>
          </cell>
        </row>
        <row r="261">
          <cell r="N261" t="str">
            <v>CHAMAKHANGA</v>
          </cell>
        </row>
        <row r="262">
          <cell r="N262" t="str">
            <v>CHANGAMWE</v>
          </cell>
        </row>
        <row r="263">
          <cell r="N263" t="str">
            <v>CHAVAKALI</v>
          </cell>
        </row>
        <row r="264">
          <cell r="N264" t="str">
            <v>CHEBARA</v>
          </cell>
        </row>
        <row r="265">
          <cell r="N265" t="str">
            <v>CHEBIEMIT</v>
          </cell>
        </row>
        <row r="266">
          <cell r="N266" t="str">
            <v>CHEBORGE</v>
          </cell>
        </row>
        <row r="267">
          <cell r="N267" t="str">
            <v>CHEBORORWA</v>
          </cell>
        </row>
        <row r="268">
          <cell r="N268" t="str">
            <v>CHEBUNYO</v>
          </cell>
        </row>
        <row r="269">
          <cell r="N269" t="str">
            <v>CHEMAMUL</v>
          </cell>
        </row>
        <row r="270">
          <cell r="N270" t="str">
            <v>CHEMANER</v>
          </cell>
        </row>
        <row r="271">
          <cell r="N271" t="str">
            <v>CHEMASE</v>
          </cell>
        </row>
        <row r="272">
          <cell r="N272" t="str">
            <v>CHEMELIL</v>
          </cell>
        </row>
        <row r="273">
          <cell r="N273" t="str">
            <v>CHEMIRON</v>
          </cell>
        </row>
        <row r="274">
          <cell r="N274" t="str">
            <v>CHEPARERIA</v>
          </cell>
        </row>
        <row r="275">
          <cell r="N275" t="str">
            <v>CHEPCHOINA</v>
          </cell>
        </row>
        <row r="276">
          <cell r="N276" t="str">
            <v>CHEPKEMEL</v>
          </cell>
        </row>
        <row r="277">
          <cell r="N277" t="str">
            <v>CHEPKISWET</v>
          </cell>
        </row>
        <row r="278">
          <cell r="N278" t="str">
            <v>CHEPKORIO</v>
          </cell>
        </row>
        <row r="279">
          <cell r="N279" t="str">
            <v>CHEPKUNYUK</v>
          </cell>
        </row>
        <row r="280">
          <cell r="N280" t="str">
            <v>CHEPSONOI</v>
          </cell>
        </row>
        <row r="281">
          <cell r="N281" t="str">
            <v>CHEPTAIS</v>
          </cell>
        </row>
        <row r="282">
          <cell r="N282" t="str">
            <v>CHEPTALAL</v>
          </cell>
        </row>
        <row r="283">
          <cell r="N283" t="str">
            <v>CHEPTERWAI</v>
          </cell>
        </row>
        <row r="284">
          <cell r="N284" t="str">
            <v>CHEPTONGEI</v>
          </cell>
        </row>
        <row r="285">
          <cell r="N285" t="str">
            <v>CHESAMISI</v>
          </cell>
        </row>
        <row r="286">
          <cell r="N286" t="str">
            <v>CHESINENDET</v>
          </cell>
        </row>
        <row r="287">
          <cell r="N287" t="str">
            <v>CHESOI</v>
          </cell>
        </row>
        <row r="288">
          <cell r="N288" t="str">
            <v>CHIAKARIGA</v>
          </cell>
        </row>
        <row r="289">
          <cell r="N289" t="str">
            <v>CHOGORIA</v>
          </cell>
        </row>
        <row r="290">
          <cell r="N290" t="str">
            <v>CHUKA</v>
          </cell>
        </row>
        <row r="291">
          <cell r="N291" t="str">
            <v>CHULUNI</v>
          </cell>
        </row>
        <row r="292">
          <cell r="N292" t="str">
            <v>CHUMVINI</v>
          </cell>
        </row>
        <row r="293">
          <cell r="N293" t="str">
            <v>CHWELE</v>
          </cell>
        </row>
        <row r="294">
          <cell r="N294" t="str">
            <v>CITY SQUARE</v>
          </cell>
        </row>
        <row r="295">
          <cell r="N295" t="str">
            <v>COAST GENERAL HOSPITAL</v>
          </cell>
        </row>
        <row r="296">
          <cell r="N296" t="str">
            <v>COMMUNITY</v>
          </cell>
        </row>
        <row r="297">
          <cell r="N297" t="str">
            <v>DADAAAB</v>
          </cell>
        </row>
        <row r="298">
          <cell r="N298" t="str">
            <v>DAGO</v>
          </cell>
        </row>
        <row r="299">
          <cell r="N299" t="str">
            <v>DANDORA</v>
          </cell>
        </row>
        <row r="300">
          <cell r="N300" t="str">
            <v>DARAJA MBILI</v>
          </cell>
        </row>
        <row r="301">
          <cell r="N301" t="str">
            <v>DEDE</v>
          </cell>
        </row>
        <row r="302">
          <cell r="N302" t="str">
            <v>DIANI BEACH</v>
          </cell>
        </row>
        <row r="303">
          <cell r="N303" t="str">
            <v>DOCKS</v>
          </cell>
        </row>
        <row r="304">
          <cell r="N304" t="str">
            <v>DOLDOL</v>
          </cell>
        </row>
        <row r="305">
          <cell r="N305" t="str">
            <v>DONYO SABUK</v>
          </cell>
        </row>
        <row r="306">
          <cell r="N306" t="str">
            <v>DOROFU</v>
          </cell>
        </row>
        <row r="307">
          <cell r="N307" t="str">
            <v>DUDI</v>
          </cell>
        </row>
        <row r="308">
          <cell r="N308" t="str">
            <v>DUNDORI</v>
          </cell>
        </row>
        <row r="309">
          <cell r="N309" t="str">
            <v>EASTLEIGH</v>
          </cell>
        </row>
        <row r="310">
          <cell r="N310" t="str">
            <v>EGERTON UNIVERSITY</v>
          </cell>
        </row>
        <row r="311">
          <cell r="N311" t="str">
            <v>EKALAKALA</v>
          </cell>
        </row>
        <row r="312">
          <cell r="N312" t="str">
            <v>EL WAK</v>
          </cell>
        </row>
        <row r="313">
          <cell r="N313" t="str">
            <v>ELBURGON</v>
          </cell>
        </row>
        <row r="314">
          <cell r="N314" t="str">
            <v>ELDAMA RAVINE</v>
          </cell>
        </row>
        <row r="315">
          <cell r="N315" t="str">
            <v>ELDORET</v>
          </cell>
        </row>
        <row r="316">
          <cell r="N316" t="str">
            <v>ELDORET AIRPORT</v>
          </cell>
        </row>
        <row r="317">
          <cell r="N317" t="str">
            <v>ELMENTAITA</v>
          </cell>
        </row>
        <row r="318">
          <cell r="N318" t="str">
            <v>ELUGULU</v>
          </cell>
        </row>
        <row r="319">
          <cell r="N319" t="str">
            <v>EMALI</v>
          </cell>
        </row>
        <row r="320">
          <cell r="N320" t="str">
            <v>EMARINDA</v>
          </cell>
        </row>
        <row r="321">
          <cell r="N321" t="str">
            <v>EMBAKASI</v>
          </cell>
        </row>
        <row r="322">
          <cell r="N322" t="str">
            <v>EMBU</v>
          </cell>
        </row>
        <row r="323">
          <cell r="N323" t="str">
            <v>EMINING NAKURU</v>
          </cell>
        </row>
        <row r="324">
          <cell r="N324" t="str">
            <v>EMUHAY</v>
          </cell>
        </row>
        <row r="325">
          <cell r="N325" t="str">
            <v>ENDARASHA</v>
          </cell>
        </row>
        <row r="326">
          <cell r="N326" t="str">
            <v>ENDAU</v>
          </cell>
        </row>
        <row r="327">
          <cell r="N327" t="str">
            <v>ENDEBESS</v>
          </cell>
        </row>
        <row r="328">
          <cell r="N328" t="str">
            <v>ENOSAEN</v>
          </cell>
        </row>
        <row r="329">
          <cell r="N329" t="str">
            <v>ENTERPRISE ROAD</v>
          </cell>
        </row>
        <row r="330">
          <cell r="N330" t="str">
            <v>EQUATOR</v>
          </cell>
        </row>
        <row r="331">
          <cell r="N331" t="str">
            <v>EREGI</v>
          </cell>
        </row>
        <row r="332">
          <cell r="N332" t="str">
            <v>ESSO PLAZA</v>
          </cell>
        </row>
        <row r="333">
          <cell r="N333" t="str">
            <v>ETAGO</v>
          </cell>
        </row>
        <row r="334">
          <cell r="N334" t="str">
            <v>FAZA</v>
          </cell>
        </row>
        <row r="335">
          <cell r="N335" t="str">
            <v>FORT TERNAN</v>
          </cell>
        </row>
        <row r="336">
          <cell r="N336" t="str">
            <v>FUNYULA</v>
          </cell>
        </row>
        <row r="337">
          <cell r="N337" t="str">
            <v>GACHARAGE-INI</v>
          </cell>
        </row>
        <row r="338">
          <cell r="N338" t="str">
            <v>GACHIKA</v>
          </cell>
        </row>
        <row r="339">
          <cell r="N339" t="str">
            <v>GACHOKA</v>
          </cell>
        </row>
        <row r="340">
          <cell r="N340" t="str">
            <v>GAITU</v>
          </cell>
        </row>
        <row r="341">
          <cell r="N341" t="str">
            <v>GAKERE ROAD</v>
          </cell>
        </row>
        <row r="342">
          <cell r="N342" t="str">
            <v>GAKINDU</v>
          </cell>
        </row>
        <row r="343">
          <cell r="N343" t="str">
            <v>GAKOE</v>
          </cell>
        </row>
        <row r="344">
          <cell r="N344" t="str">
            <v>GAKURWE</v>
          </cell>
        </row>
        <row r="345">
          <cell r="N345" t="str">
            <v>GAMBOGI</v>
          </cell>
        </row>
        <row r="346">
          <cell r="N346" t="str">
            <v>GANZE</v>
          </cell>
        </row>
        <row r="347">
          <cell r="N347" t="str">
            <v>GARBA TULLA</v>
          </cell>
        </row>
        <row r="348">
          <cell r="N348" t="str">
            <v>GARISSA</v>
          </cell>
        </row>
        <row r="349">
          <cell r="N349" t="str">
            <v>GARSEN</v>
          </cell>
        </row>
        <row r="350">
          <cell r="N350" t="str">
            <v>GATARA</v>
          </cell>
        </row>
        <row r="351">
          <cell r="N351" t="str">
            <v>GATARAKWA</v>
          </cell>
        </row>
        <row r="352">
          <cell r="N352" t="str">
            <v>GATHIRUINI</v>
          </cell>
        </row>
        <row r="353">
          <cell r="N353" t="str">
            <v>GATHUGU</v>
          </cell>
        </row>
        <row r="354">
          <cell r="N354" t="str">
            <v>GATHUTHI</v>
          </cell>
        </row>
        <row r="355">
          <cell r="N355" t="str">
            <v>GATITU</v>
          </cell>
        </row>
        <row r="356">
          <cell r="N356" t="str">
            <v>GATONDO</v>
          </cell>
        </row>
        <row r="357">
          <cell r="N357" t="str">
            <v>GATUGURA</v>
          </cell>
        </row>
        <row r="358">
          <cell r="N358" t="str">
            <v>GATUKUYU</v>
          </cell>
        </row>
        <row r="359">
          <cell r="N359" t="str">
            <v>GATUNDU</v>
          </cell>
        </row>
        <row r="360">
          <cell r="N360" t="str">
            <v>GATUNGA</v>
          </cell>
        </row>
        <row r="361">
          <cell r="N361" t="str">
            <v>GATURA</v>
          </cell>
        </row>
        <row r="362">
          <cell r="N362" t="str">
            <v>GEDE</v>
          </cell>
        </row>
        <row r="363">
          <cell r="N363" t="str">
            <v>GEMBE</v>
          </cell>
        </row>
        <row r="364">
          <cell r="N364" t="str">
            <v>GESIMA</v>
          </cell>
        </row>
        <row r="365">
          <cell r="N365" t="str">
            <v>GESUSU</v>
          </cell>
        </row>
        <row r="366">
          <cell r="N366" t="str">
            <v>GIAKAIBEI</v>
          </cell>
        </row>
        <row r="367">
          <cell r="N367" t="str">
            <v>GIAKANJA</v>
          </cell>
        </row>
        <row r="368">
          <cell r="N368" t="str">
            <v>GICHICHI</v>
          </cell>
        </row>
        <row r="369">
          <cell r="N369" t="str">
            <v>GIGIRI</v>
          </cell>
        </row>
        <row r="370">
          <cell r="N370" t="str">
            <v>GIKOE</v>
          </cell>
        </row>
        <row r="371">
          <cell r="N371" t="str">
            <v>GILGIL</v>
          </cell>
        </row>
        <row r="372">
          <cell r="N372" t="str">
            <v>GIRIBE</v>
          </cell>
        </row>
        <row r="373">
          <cell r="N373" t="str">
            <v>GISAMBAI</v>
          </cell>
        </row>
        <row r="374">
          <cell r="N374" t="str">
            <v>GITHIGA</v>
          </cell>
        </row>
        <row r="375">
          <cell r="N375" t="str">
            <v>GITHONGO</v>
          </cell>
        </row>
        <row r="376">
          <cell r="N376" t="str">
            <v>GITHUMU</v>
          </cell>
        </row>
        <row r="377">
          <cell r="N377" t="str">
            <v>GITHUNGURI</v>
          </cell>
        </row>
        <row r="378">
          <cell r="N378" t="str">
            <v>GITIMENE</v>
          </cell>
        </row>
        <row r="379">
          <cell r="N379" t="str">
            <v>GITUAMBA</v>
          </cell>
        </row>
        <row r="380">
          <cell r="N380" t="str">
            <v>GITUGI</v>
          </cell>
        </row>
        <row r="381">
          <cell r="N381" t="str">
            <v>GONGONI</v>
          </cell>
        </row>
        <row r="382">
          <cell r="N382" t="str">
            <v>GORGOR</v>
          </cell>
        </row>
        <row r="383">
          <cell r="N383" t="str">
            <v>GOT OYARO</v>
          </cell>
        </row>
        <row r="384">
          <cell r="N384" t="str">
            <v>GRIFTU</v>
          </cell>
        </row>
        <row r="385">
          <cell r="N385" t="str">
            <v>HABASWEIN</v>
          </cell>
        </row>
        <row r="386">
          <cell r="N386" t="str">
            <v>HAKATI</v>
          </cell>
        </row>
        <row r="387">
          <cell r="N387" t="str">
            <v>HAMISI</v>
          </cell>
        </row>
        <row r="388">
          <cell r="N388" t="str">
            <v>HAWINGA</v>
          </cell>
        </row>
        <row r="389">
          <cell r="N389" t="str">
            <v>HIGHRIDGE</v>
          </cell>
        </row>
        <row r="390">
          <cell r="N390" t="str">
            <v>HOLA</v>
          </cell>
        </row>
        <row r="391">
          <cell r="N391" t="str">
            <v>HOMABAY</v>
          </cell>
        </row>
        <row r="392">
          <cell r="N392" t="str">
            <v>HURUMA</v>
          </cell>
        </row>
        <row r="393">
          <cell r="N393" t="str">
            <v>ICHICHI</v>
          </cell>
        </row>
        <row r="394">
          <cell r="N394" t="str">
            <v>IGARE</v>
          </cell>
        </row>
        <row r="395">
          <cell r="N395" t="str">
            <v>IGEGANIA</v>
          </cell>
        </row>
        <row r="396">
          <cell r="N396" t="str">
            <v>IGOJI</v>
          </cell>
        </row>
        <row r="397">
          <cell r="N397" t="str">
            <v>IGWAMITI</v>
          </cell>
        </row>
        <row r="398">
          <cell r="N398" t="str">
            <v>IHURURU MARKET</v>
          </cell>
        </row>
        <row r="399">
          <cell r="N399" t="str">
            <v>IKALAASA</v>
          </cell>
        </row>
        <row r="400">
          <cell r="N400" t="str">
            <v>IKEREGE</v>
          </cell>
        </row>
        <row r="401">
          <cell r="N401" t="str">
            <v>IKINU</v>
          </cell>
        </row>
        <row r="402">
          <cell r="N402" t="str">
            <v>IKONGE</v>
          </cell>
        </row>
        <row r="403">
          <cell r="N403" t="str">
            <v>IKUTHA</v>
          </cell>
        </row>
        <row r="404">
          <cell r="N404" t="str">
            <v>IKUU</v>
          </cell>
        </row>
        <row r="405">
          <cell r="N405" t="str">
            <v>ILASIT</v>
          </cell>
        </row>
        <row r="406">
          <cell r="N406" t="str">
            <v>ILEHO</v>
          </cell>
        </row>
        <row r="407">
          <cell r="N407" t="str">
            <v>IMANGA</v>
          </cell>
        </row>
        <row r="408">
          <cell r="N408" t="str">
            <v>INDECHERO</v>
          </cell>
        </row>
        <row r="409">
          <cell r="N409" t="str">
            <v>IRIWA</v>
          </cell>
        </row>
        <row r="410">
          <cell r="N410" t="str">
            <v>ISHIARA</v>
          </cell>
        </row>
        <row r="411">
          <cell r="N411" t="str">
            <v>ISIBANIA</v>
          </cell>
        </row>
        <row r="412">
          <cell r="N412" t="str">
            <v>ISINYA</v>
          </cell>
        </row>
        <row r="413">
          <cell r="N413" t="str">
            <v>ISIOLO</v>
          </cell>
        </row>
        <row r="414">
          <cell r="N414" t="str">
            <v>ISULU</v>
          </cell>
        </row>
        <row r="415">
          <cell r="N415" t="str">
            <v>ITEN</v>
          </cell>
        </row>
        <row r="416">
          <cell r="N416" t="str">
            <v>ITHANGA</v>
          </cell>
        </row>
        <row r="417">
          <cell r="N417" t="str">
            <v>ITIBO</v>
          </cell>
        </row>
        <row r="418">
          <cell r="N418" t="str">
            <v>ITUMBE</v>
          </cell>
        </row>
        <row r="419">
          <cell r="N419" t="str">
            <v>JEBROK</v>
          </cell>
        </row>
        <row r="420">
          <cell r="N420" t="str">
            <v>JUJA ROAD</v>
          </cell>
        </row>
        <row r="421">
          <cell r="N421" t="str">
            <v>K.I.C.C</v>
          </cell>
        </row>
        <row r="422">
          <cell r="N422" t="str">
            <v>KABARNET</v>
          </cell>
        </row>
        <row r="423">
          <cell r="N423" t="str">
            <v>KABARTONJO</v>
          </cell>
        </row>
        <row r="424">
          <cell r="N424" t="str">
            <v>KABATI</v>
          </cell>
        </row>
        <row r="425">
          <cell r="N425" t="str">
            <v>KABATINI</v>
          </cell>
        </row>
        <row r="426">
          <cell r="N426" t="str">
            <v>KABAZI</v>
          </cell>
        </row>
        <row r="427">
          <cell r="N427" t="str">
            <v>KABETE</v>
          </cell>
        </row>
        <row r="428">
          <cell r="N428" t="str">
            <v>KABIANGA</v>
          </cell>
        </row>
        <row r="429">
          <cell r="N429" t="str">
            <v>KABIEMIT</v>
          </cell>
        </row>
        <row r="430">
          <cell r="N430" t="str">
            <v>KABIMOI</v>
          </cell>
        </row>
        <row r="431">
          <cell r="N431" t="str">
            <v>KABIYET</v>
          </cell>
        </row>
        <row r="432">
          <cell r="N432" t="str">
            <v>KABOSON</v>
          </cell>
        </row>
        <row r="433">
          <cell r="N433" t="str">
            <v>KABULA</v>
          </cell>
        </row>
        <row r="434">
          <cell r="N434" t="str">
            <v>KACHELIBA</v>
          </cell>
        </row>
        <row r="435">
          <cell r="N435" t="str">
            <v>KADEL</v>
          </cell>
        </row>
        <row r="436">
          <cell r="N436" t="str">
            <v>KADONGO</v>
          </cell>
        </row>
        <row r="437">
          <cell r="N437" t="str">
            <v>KAGICHA</v>
          </cell>
        </row>
        <row r="438">
          <cell r="N438" t="str">
            <v>KAGIO</v>
          </cell>
        </row>
        <row r="439">
          <cell r="N439" t="str">
            <v>KAGUMO</v>
          </cell>
        </row>
        <row r="440">
          <cell r="N440" t="str">
            <v>KAGUNDUINI</v>
          </cell>
        </row>
        <row r="441">
          <cell r="N441" t="str">
            <v>KAGWE</v>
          </cell>
        </row>
        <row r="442">
          <cell r="N442" t="str">
            <v>KAHEHO</v>
          </cell>
        </row>
        <row r="443">
          <cell r="N443" t="str">
            <v>KAHUHIA</v>
          </cell>
        </row>
        <row r="444">
          <cell r="N444" t="str">
            <v>KAHURO</v>
          </cell>
        </row>
        <row r="445">
          <cell r="N445" t="str">
            <v>KAHUTI</v>
          </cell>
        </row>
        <row r="446">
          <cell r="N446" t="str">
            <v>KAIBOI</v>
          </cell>
        </row>
        <row r="447">
          <cell r="N447" t="str">
            <v>KAIMOSI</v>
          </cell>
        </row>
        <row r="448">
          <cell r="N448" t="str">
            <v>KAINUK</v>
          </cell>
        </row>
        <row r="449">
          <cell r="N449" t="str">
            <v>KAIRI</v>
          </cell>
        </row>
        <row r="450">
          <cell r="N450" t="str">
            <v>KAIRO</v>
          </cell>
        </row>
        <row r="451">
          <cell r="N451" t="str">
            <v>KAJIADO</v>
          </cell>
        </row>
        <row r="452">
          <cell r="N452" t="str">
            <v>KAKAMEGA</v>
          </cell>
        </row>
        <row r="453">
          <cell r="N453" t="str">
            <v>KAKEMER</v>
          </cell>
        </row>
        <row r="454">
          <cell r="N454" t="str">
            <v>KAKIBORA</v>
          </cell>
        </row>
        <row r="455">
          <cell r="N455" t="str">
            <v>KAKONENI</v>
          </cell>
        </row>
        <row r="456">
          <cell r="N456" t="str">
            <v>KAKUMA</v>
          </cell>
        </row>
        <row r="457">
          <cell r="N457" t="str">
            <v>KAKUNGA</v>
          </cell>
        </row>
        <row r="458">
          <cell r="N458" t="str">
            <v>KAKUZI</v>
          </cell>
        </row>
        <row r="459">
          <cell r="N459" t="str">
            <v>KALAMBA</v>
          </cell>
        </row>
        <row r="460">
          <cell r="N460" t="str">
            <v>KALAWA</v>
          </cell>
        </row>
        <row r="461">
          <cell r="N461" t="str">
            <v>KALIMONI</v>
          </cell>
        </row>
        <row r="462">
          <cell r="N462" t="str">
            <v>KALOKOL</v>
          </cell>
        </row>
        <row r="463">
          <cell r="N463" t="str">
            <v>KALOLENI</v>
          </cell>
        </row>
        <row r="464">
          <cell r="N464" t="str">
            <v>KAMAGET</v>
          </cell>
        </row>
        <row r="465">
          <cell r="N465" t="str">
            <v>KAMAHUHA</v>
          </cell>
        </row>
        <row r="466">
          <cell r="N466" t="str">
            <v>KAMARA</v>
          </cell>
        </row>
        <row r="467">
          <cell r="N467" t="str">
            <v>KAMBERUA</v>
          </cell>
        </row>
        <row r="468">
          <cell r="N468" t="str">
            <v>KAMBIRI</v>
          </cell>
        </row>
        <row r="469">
          <cell r="N469" t="str">
            <v>KAMBITI</v>
          </cell>
        </row>
        <row r="470">
          <cell r="N470" t="str">
            <v>KAMITI</v>
          </cell>
        </row>
        <row r="471">
          <cell r="N471" t="str">
            <v>KAMPI YA MOTO</v>
          </cell>
        </row>
        <row r="472">
          <cell r="N472" t="str">
            <v>KAMPI YA SAMAKI</v>
          </cell>
        </row>
        <row r="473">
          <cell r="N473" t="str">
            <v>KAMUKUYWA</v>
          </cell>
        </row>
        <row r="474">
          <cell r="N474" t="str">
            <v>KAMURIAI</v>
          </cell>
        </row>
        <row r="475">
          <cell r="N475" t="str">
            <v>KAMUWONGO</v>
          </cell>
        </row>
        <row r="476">
          <cell r="N476" t="str">
            <v>KAMWASOR</v>
          </cell>
        </row>
        <row r="477">
          <cell r="N477" t="str">
            <v>KAMWAURA NAKURU</v>
          </cell>
        </row>
        <row r="478">
          <cell r="N478" t="str">
            <v>KANAM</v>
          </cell>
        </row>
        <row r="479">
          <cell r="N479" t="str">
            <v>KANDARA</v>
          </cell>
        </row>
        <row r="480">
          <cell r="N480" t="str">
            <v>KANDIEGE</v>
          </cell>
        </row>
        <row r="481">
          <cell r="N481" t="str">
            <v>KANDUYI</v>
          </cell>
        </row>
        <row r="482">
          <cell r="N482" t="str">
            <v>KANGARI</v>
          </cell>
        </row>
        <row r="483">
          <cell r="N483" t="str">
            <v>KANGEMA</v>
          </cell>
        </row>
        <row r="484">
          <cell r="N484" t="str">
            <v>KANGEMI</v>
          </cell>
        </row>
        <row r="485">
          <cell r="N485" t="str">
            <v>KANGETA</v>
          </cell>
        </row>
        <row r="486">
          <cell r="N486" t="str">
            <v>KANGOO</v>
          </cell>
        </row>
        <row r="487">
          <cell r="N487" t="str">
            <v>KANGUNDO</v>
          </cell>
        </row>
        <row r="488">
          <cell r="N488" t="str">
            <v>KANJA</v>
          </cell>
        </row>
        <row r="489">
          <cell r="N489" t="str">
            <v>KANJUKU</v>
          </cell>
        </row>
        <row r="490">
          <cell r="N490" t="str">
            <v>KANYAAGIA</v>
          </cell>
        </row>
        <row r="491">
          <cell r="N491" t="str">
            <v>KANYAKINE</v>
          </cell>
        </row>
        <row r="492">
          <cell r="N492" t="str">
            <v>KANYONI</v>
          </cell>
        </row>
        <row r="493">
          <cell r="N493" t="str">
            <v>KANYUAMBORA</v>
          </cell>
        </row>
        <row r="494">
          <cell r="N494" t="str">
            <v>KANZIKO</v>
          </cell>
        </row>
        <row r="495">
          <cell r="N495" t="str">
            <v>KAPCHENO</v>
          </cell>
        </row>
        <row r="496">
          <cell r="N496" t="str">
            <v>KAPCHERANY</v>
          </cell>
        </row>
        <row r="497">
          <cell r="N497" t="str">
            <v>KAPCHEROP</v>
          </cell>
        </row>
        <row r="498">
          <cell r="N498" t="str">
            <v>KAPCHORWA</v>
          </cell>
        </row>
        <row r="499">
          <cell r="N499" t="str">
            <v>KAPEDO</v>
          </cell>
        </row>
        <row r="500">
          <cell r="N500" t="str">
            <v>KAPENGURIA</v>
          </cell>
        </row>
        <row r="501">
          <cell r="N501" t="str">
            <v>KAPKATENY</v>
          </cell>
        </row>
        <row r="502">
          <cell r="N502" t="str">
            <v>KAPKATET</v>
          </cell>
        </row>
        <row r="503">
          <cell r="N503" t="str">
            <v>KAPKELEK</v>
          </cell>
        </row>
        <row r="504">
          <cell r="N504" t="str">
            <v>KAPKENDA</v>
          </cell>
        </row>
        <row r="505">
          <cell r="N505" t="str">
            <v>KAPKESOSIO</v>
          </cell>
        </row>
        <row r="506">
          <cell r="N506" t="str">
            <v>KAPKOROS</v>
          </cell>
        </row>
        <row r="507">
          <cell r="N507" t="str">
            <v>KAPKUGERWET</v>
          </cell>
        </row>
        <row r="508">
          <cell r="N508" t="str">
            <v>KAPNGETUNY</v>
          </cell>
        </row>
        <row r="509">
          <cell r="N509" t="str">
            <v>KAPSABET</v>
          </cell>
        </row>
        <row r="510">
          <cell r="N510" t="str">
            <v>KAPSARA</v>
          </cell>
        </row>
        <row r="511">
          <cell r="N511" t="str">
            <v>KAPSOIT</v>
          </cell>
        </row>
        <row r="512">
          <cell r="N512" t="str">
            <v>KAPSOKWONY</v>
          </cell>
        </row>
        <row r="513">
          <cell r="N513" t="str">
            <v>KAPSOWAR</v>
          </cell>
        </row>
        <row r="514">
          <cell r="N514" t="str">
            <v>KAPSUMBEIWA</v>
          </cell>
        </row>
        <row r="515">
          <cell r="N515" t="str">
            <v>KAPSUSER</v>
          </cell>
        </row>
        <row r="516">
          <cell r="N516" t="str">
            <v>KAPTAGAT</v>
          </cell>
        </row>
        <row r="517">
          <cell r="N517" t="str">
            <v>KAPTALAMWA</v>
          </cell>
        </row>
        <row r="518">
          <cell r="N518" t="str">
            <v>KAPTAMA</v>
          </cell>
        </row>
        <row r="519">
          <cell r="N519" t="str">
            <v>KAPTARAKWA</v>
          </cell>
        </row>
        <row r="520">
          <cell r="N520" t="str">
            <v>KAPTEBENGWET</v>
          </cell>
        </row>
        <row r="521">
          <cell r="N521" t="str">
            <v>KAPTEL</v>
          </cell>
        </row>
        <row r="522">
          <cell r="N522" t="str">
            <v>KAPTEREN</v>
          </cell>
        </row>
        <row r="523">
          <cell r="N523" t="str">
            <v>KARABA</v>
          </cell>
        </row>
        <row r="524">
          <cell r="N524" t="str">
            <v>KARATINA</v>
          </cell>
        </row>
        <row r="525">
          <cell r="N525" t="str">
            <v>KARATU</v>
          </cell>
        </row>
        <row r="526">
          <cell r="N526" t="str">
            <v>KAREMENO</v>
          </cell>
        </row>
        <row r="527">
          <cell r="N527" t="str">
            <v>KAREN</v>
          </cell>
        </row>
        <row r="528">
          <cell r="N528" t="str">
            <v>KARIMA</v>
          </cell>
        </row>
        <row r="529">
          <cell r="N529" t="str">
            <v>KARINGARI</v>
          </cell>
        </row>
        <row r="530">
          <cell r="N530" t="str">
            <v>KARIOBANGI</v>
          </cell>
        </row>
        <row r="531">
          <cell r="N531" t="str">
            <v>KAROTA</v>
          </cell>
        </row>
        <row r="532">
          <cell r="N532" t="str">
            <v>KARUMANDI</v>
          </cell>
        </row>
        <row r="533">
          <cell r="N533" t="str">
            <v>KARUNGU</v>
          </cell>
        </row>
        <row r="534">
          <cell r="N534" t="str">
            <v>KARURI</v>
          </cell>
        </row>
        <row r="535">
          <cell r="N535" t="str">
            <v>KARURUMO</v>
          </cell>
        </row>
        <row r="536">
          <cell r="N536" t="str">
            <v>KASARANI</v>
          </cell>
        </row>
        <row r="537">
          <cell r="N537" t="str">
            <v>KASIGAU</v>
          </cell>
        </row>
        <row r="538">
          <cell r="N538" t="str">
            <v>KASIKEU</v>
          </cell>
        </row>
        <row r="539">
          <cell r="N539" t="str">
            <v>KATANGI</v>
          </cell>
        </row>
        <row r="540">
          <cell r="N540" t="str">
            <v>KATHIANI</v>
          </cell>
        </row>
        <row r="541">
          <cell r="N541" t="str">
            <v>KATHONZWENI</v>
          </cell>
        </row>
        <row r="542">
          <cell r="N542" t="str">
            <v>KATHWANA</v>
          </cell>
        </row>
        <row r="543">
          <cell r="N543" t="str">
            <v>KATILU</v>
          </cell>
        </row>
        <row r="544">
          <cell r="N544" t="str">
            <v>KATITO</v>
          </cell>
        </row>
        <row r="545">
          <cell r="N545" t="str">
            <v>KATSE</v>
          </cell>
        </row>
        <row r="546">
          <cell r="N546" t="str">
            <v>KATUTU</v>
          </cell>
        </row>
        <row r="547">
          <cell r="N547" t="str">
            <v>KAVIANI</v>
          </cell>
        </row>
        <row r="548">
          <cell r="N548" t="str">
            <v>KAVUTI</v>
          </cell>
        </row>
        <row r="549">
          <cell r="N549" t="str">
            <v>KAWERU</v>
          </cell>
        </row>
        <row r="550">
          <cell r="N550" t="str">
            <v>KAYOLE</v>
          </cell>
        </row>
        <row r="551">
          <cell r="N551" t="str">
            <v>KEBIRIGO</v>
          </cell>
        </row>
        <row r="552">
          <cell r="N552" t="str">
            <v>KEDOWA</v>
          </cell>
        </row>
        <row r="553">
          <cell r="N553" t="str">
            <v>KEEKOROK</v>
          </cell>
        </row>
        <row r="554">
          <cell r="N554" t="str">
            <v>KEGOGI</v>
          </cell>
        </row>
        <row r="555">
          <cell r="N555" t="str">
            <v>KEGONGA</v>
          </cell>
        </row>
        <row r="556">
          <cell r="N556" t="str">
            <v>KEHANCHA</v>
          </cell>
        </row>
        <row r="557">
          <cell r="N557" t="str">
            <v>KENDU BAY</v>
          </cell>
        </row>
        <row r="558">
          <cell r="N558" t="str">
            <v>KENYATTA N HOSPITAL</v>
          </cell>
        </row>
        <row r="559">
          <cell r="N559" t="str">
            <v>KENYATTA UNIV</v>
          </cell>
        </row>
        <row r="560">
          <cell r="N560" t="str">
            <v>KENYENYA</v>
          </cell>
        </row>
        <row r="561">
          <cell r="N561" t="str">
            <v>KENYENYAINI</v>
          </cell>
        </row>
        <row r="562">
          <cell r="N562" t="str">
            <v>KERICHO</v>
          </cell>
        </row>
        <row r="563">
          <cell r="N563" t="str">
            <v>KEROKA</v>
          </cell>
        </row>
        <row r="564">
          <cell r="N564" t="str">
            <v>KERUGOYA</v>
          </cell>
        </row>
        <row r="565">
          <cell r="N565" t="str">
            <v>KESOGON</v>
          </cell>
        </row>
        <row r="566">
          <cell r="N566" t="str">
            <v>KEUMBU</v>
          </cell>
        </row>
        <row r="567">
          <cell r="N567" t="str">
            <v>KEVOTE</v>
          </cell>
        </row>
        <row r="568">
          <cell r="N568" t="str">
            <v>KHAYEGA</v>
          </cell>
        </row>
        <row r="569">
          <cell r="N569" t="str">
            <v>KHUMUSALABA</v>
          </cell>
        </row>
        <row r="570">
          <cell r="N570" t="str">
            <v>KHWISERO</v>
          </cell>
        </row>
        <row r="571">
          <cell r="N571" t="str">
            <v>KIAMARIGA</v>
          </cell>
        </row>
        <row r="572">
          <cell r="N572" t="str">
            <v>KIAMBERE</v>
          </cell>
        </row>
        <row r="573">
          <cell r="N573" t="str">
            <v>KIAMBU</v>
          </cell>
        </row>
        <row r="574">
          <cell r="N574" t="str">
            <v>KIAMBURURU</v>
          </cell>
        </row>
        <row r="575">
          <cell r="N575" t="str">
            <v>KIAMOKAMA</v>
          </cell>
        </row>
        <row r="576">
          <cell r="N576" t="str">
            <v>KIAMURINGA</v>
          </cell>
        </row>
        <row r="577">
          <cell r="N577" t="str">
            <v>KIAMUTUGA</v>
          </cell>
        </row>
        <row r="578">
          <cell r="N578" t="str">
            <v>KIAMWANGI</v>
          </cell>
        </row>
        <row r="579">
          <cell r="N579" t="str">
            <v>KIANDU</v>
          </cell>
        </row>
        <row r="580">
          <cell r="N580" t="str">
            <v>KIANJAI</v>
          </cell>
        </row>
        <row r="581">
          <cell r="N581" t="str">
            <v>KIANJOKOMA</v>
          </cell>
        </row>
        <row r="582">
          <cell r="N582" t="str">
            <v>KIANYAGA</v>
          </cell>
        </row>
        <row r="583">
          <cell r="N583" t="str">
            <v>KIAWARIGI</v>
          </cell>
        </row>
        <row r="584">
          <cell r="N584" t="str">
            <v>KIBICHO</v>
          </cell>
        </row>
        <row r="585">
          <cell r="N585" t="str">
            <v>KIBIGORI</v>
          </cell>
        </row>
        <row r="586">
          <cell r="N586" t="str">
            <v>KIBIRICHIA</v>
          </cell>
        </row>
        <row r="587">
          <cell r="N587" t="str">
            <v>KIBIRIGWI</v>
          </cell>
        </row>
        <row r="588">
          <cell r="N588" t="str">
            <v>KIBOS</v>
          </cell>
        </row>
        <row r="589">
          <cell r="N589" t="str">
            <v>KIBUGU</v>
          </cell>
        </row>
        <row r="590">
          <cell r="N590" t="str">
            <v>KIBWEZI</v>
          </cell>
        </row>
        <row r="591">
          <cell r="N591" t="str">
            <v>KIGANJO</v>
          </cell>
        </row>
        <row r="592">
          <cell r="N592" t="str">
            <v>KIGUMO</v>
          </cell>
        </row>
        <row r="593">
          <cell r="N593" t="str">
            <v>KIHOYA</v>
          </cell>
        </row>
        <row r="594">
          <cell r="N594" t="str">
            <v>KIHUGA SQUARE</v>
          </cell>
        </row>
        <row r="595">
          <cell r="N595" t="str">
            <v>KIIRUA</v>
          </cell>
        </row>
        <row r="596">
          <cell r="N596" t="str">
            <v>KIJABE</v>
          </cell>
        </row>
        <row r="597">
          <cell r="N597" t="str">
            <v>KIKIMA</v>
          </cell>
        </row>
        <row r="598">
          <cell r="N598" t="str">
            <v>KIKUYU</v>
          </cell>
        </row>
        <row r="599">
          <cell r="N599" t="str">
            <v>NYAMARAMBE</v>
          </cell>
        </row>
        <row r="600">
          <cell r="N600" t="str">
            <v>SIMAT</v>
          </cell>
        </row>
        <row r="601">
          <cell r="N601" t="str">
            <v>SINDO</v>
          </cell>
        </row>
        <row r="602">
          <cell r="N602" t="str">
            <v>SINGORE</v>
          </cell>
        </row>
        <row r="603">
          <cell r="N603" t="str">
            <v>SIO PORT</v>
          </cell>
        </row>
        <row r="604">
          <cell r="N604" t="str">
            <v>SIONGIROI</v>
          </cell>
        </row>
        <row r="605">
          <cell r="N605" t="str">
            <v>SIPILI</v>
          </cell>
        </row>
        <row r="606">
          <cell r="N606" t="str">
            <v>SIREMBE</v>
          </cell>
        </row>
        <row r="607">
          <cell r="N607" t="str">
            <v>SIRENDE</v>
          </cell>
        </row>
        <row r="608">
          <cell r="N608" t="str">
            <v>SIRISIA</v>
          </cell>
        </row>
        <row r="609">
          <cell r="N609" t="str">
            <v>SIRONGO</v>
          </cell>
        </row>
        <row r="610">
          <cell r="N610" t="str">
            <v>SOLAI</v>
          </cell>
        </row>
        <row r="611">
          <cell r="N611" t="str">
            <v>SOLO MOYALE</v>
          </cell>
        </row>
        <row r="612">
          <cell r="N612" t="str">
            <v>SONDU</v>
          </cell>
        </row>
        <row r="613">
          <cell r="N613" t="str">
            <v>SONGHOR</v>
          </cell>
        </row>
        <row r="614">
          <cell r="N614" t="str">
            <v>SORGET</v>
          </cell>
        </row>
        <row r="615">
          <cell r="N615" t="str">
            <v>SOSIOT</v>
          </cell>
        </row>
        <row r="616">
          <cell r="N616" t="str">
            <v>SOTIK</v>
          </cell>
        </row>
        <row r="617">
          <cell r="N617" t="str">
            <v>SOUTH HORR</v>
          </cell>
        </row>
        <row r="618">
          <cell r="N618" t="str">
            <v>SOUTH KINANGOP</v>
          </cell>
        </row>
        <row r="619">
          <cell r="N619" t="str">
            <v>SOUTH KINANGOP</v>
          </cell>
        </row>
        <row r="620">
          <cell r="N620" t="str">
            <v>SOY</v>
          </cell>
        </row>
        <row r="621">
          <cell r="N621" t="str">
            <v>SUBA KURIA</v>
          </cell>
        </row>
        <row r="622">
          <cell r="N622" t="str">
            <v>SUBUKIA</v>
          </cell>
        </row>
        <row r="623">
          <cell r="N623" t="str">
            <v>SUGUTA MAR MAR</v>
          </cell>
        </row>
        <row r="624">
          <cell r="N624" t="str">
            <v>SULMAC</v>
          </cell>
        </row>
        <row r="625">
          <cell r="N625" t="str">
            <v>SULTAN HAMUD</v>
          </cell>
        </row>
        <row r="626">
          <cell r="N626" t="str">
            <v>SUNA</v>
          </cell>
        </row>
        <row r="627">
          <cell r="N627" t="str">
            <v>SUWERWA</v>
          </cell>
        </row>
        <row r="628">
          <cell r="N628" t="str">
            <v>SYEIKULU</v>
          </cell>
        </row>
        <row r="629">
          <cell r="N629" t="str">
            <v>TABANI</v>
          </cell>
        </row>
        <row r="630">
          <cell r="N630" t="str">
            <v>TALA</v>
          </cell>
        </row>
        <row r="631">
          <cell r="N631" t="str">
            <v>TAMBACH</v>
          </cell>
        </row>
        <row r="632">
          <cell r="N632" t="str">
            <v>TARASAA</v>
          </cell>
        </row>
        <row r="633">
          <cell r="N633" t="str">
            <v>TAUSA</v>
          </cell>
        </row>
        <row r="634">
          <cell r="N634" t="str">
            <v>TAVETA</v>
          </cell>
        </row>
        <row r="635">
          <cell r="N635" t="str">
            <v>TAWA</v>
          </cell>
        </row>
        <row r="636">
          <cell r="N636" t="str">
            <v>TENGES</v>
          </cell>
        </row>
        <row r="637">
          <cell r="N637" t="str">
            <v>THAARA</v>
          </cell>
        </row>
        <row r="638">
          <cell r="N638" t="str">
            <v>THANGATHI</v>
          </cell>
        </row>
        <row r="639">
          <cell r="N639" t="str">
            <v>THIGIO</v>
          </cell>
        </row>
        <row r="640">
          <cell r="N640" t="str">
            <v>THIKA</v>
          </cell>
        </row>
        <row r="641">
          <cell r="N641" t="str">
            <v>TIGIJI</v>
          </cell>
        </row>
        <row r="642">
          <cell r="N642" t="str">
            <v>TIMAU</v>
          </cell>
        </row>
        <row r="643">
          <cell r="N643" t="str">
            <v>TIMAU</v>
          </cell>
        </row>
        <row r="644">
          <cell r="N644" t="str">
            <v>TIMBER MILL RD</v>
          </cell>
        </row>
        <row r="645">
          <cell r="N645" t="str">
            <v>TIMBOROA</v>
          </cell>
        </row>
        <row r="646">
          <cell r="N646" t="str">
            <v>TIRIKI</v>
          </cell>
        </row>
        <row r="647">
          <cell r="N647" t="str">
            <v>TOM MBOYA ST</v>
          </cell>
        </row>
        <row r="648">
          <cell r="N648" t="str">
            <v>TOMBE</v>
          </cell>
        </row>
        <row r="649">
          <cell r="N649" t="str">
            <v>TONGAREN</v>
          </cell>
        </row>
        <row r="650">
          <cell r="N650" t="str">
            <v>TORONGO</v>
          </cell>
        </row>
        <row r="651">
          <cell r="N651" t="str">
            <v>TOT</v>
          </cell>
        </row>
        <row r="652">
          <cell r="N652" t="str">
            <v>TULIA</v>
          </cell>
        </row>
        <row r="653">
          <cell r="N653" t="str">
            <v>TUMU TUMU</v>
          </cell>
        </row>
        <row r="654">
          <cell r="N654" t="str">
            <v>TUNYAI</v>
          </cell>
        </row>
        <row r="655">
          <cell r="N655" t="str">
            <v>TURBO</v>
          </cell>
        </row>
        <row r="656">
          <cell r="N656" t="str">
            <v>TURI</v>
          </cell>
        </row>
        <row r="657">
          <cell r="N657" t="str">
            <v>UASO NYIRO</v>
          </cell>
        </row>
        <row r="658">
          <cell r="N658" t="str">
            <v>UGUNJA</v>
          </cell>
        </row>
        <row r="659">
          <cell r="N659" t="str">
            <v>UHURU GARDENS</v>
          </cell>
        </row>
        <row r="660">
          <cell r="N660" t="str">
            <v>UKUNDA</v>
          </cell>
        </row>
        <row r="661">
          <cell r="N661" t="str">
            <v>UKWALA</v>
          </cell>
        </row>
        <row r="662">
          <cell r="N662" t="str">
            <v>UPLANDS</v>
          </cell>
        </row>
        <row r="663">
          <cell r="N663" t="str">
            <v>URANGA</v>
          </cell>
        </row>
        <row r="664">
          <cell r="N664" t="str">
            <v>URIRI</v>
          </cell>
        </row>
        <row r="665">
          <cell r="N665" t="str">
            <v>USENGE</v>
          </cell>
        </row>
        <row r="666">
          <cell r="N666" t="str">
            <v>USIGU</v>
          </cell>
        </row>
        <row r="667">
          <cell r="N667" t="str">
            <v>UTHIRU</v>
          </cell>
        </row>
        <row r="668">
          <cell r="N668" t="str">
            <v>VALLEY ARCADE</v>
          </cell>
        </row>
        <row r="669">
          <cell r="N669" t="str">
            <v>VANGA</v>
          </cell>
        </row>
        <row r="670">
          <cell r="N670" t="str">
            <v>VIHIGA</v>
          </cell>
        </row>
        <row r="671">
          <cell r="N671" t="str">
            <v>VILLAGE MARKET</v>
          </cell>
        </row>
        <row r="672">
          <cell r="N672" t="str">
            <v>VIPINGO</v>
          </cell>
        </row>
        <row r="673">
          <cell r="N673" t="str">
            <v>VITENGENI</v>
          </cell>
        </row>
        <row r="674">
          <cell r="N674" t="str">
            <v>VIWANDANI</v>
          </cell>
        </row>
        <row r="675">
          <cell r="N675" t="str">
            <v>VOI</v>
          </cell>
        </row>
        <row r="676">
          <cell r="N676" t="str">
            <v>VOO</v>
          </cell>
        </row>
        <row r="677">
          <cell r="N677" t="str">
            <v>WAGUSU</v>
          </cell>
        </row>
        <row r="678">
          <cell r="N678" t="str">
            <v>WAITHAKA</v>
          </cell>
        </row>
        <row r="679">
          <cell r="N679" t="str">
            <v>NYAMBUNWA</v>
          </cell>
        </row>
        <row r="680">
          <cell r="N680" t="str">
            <v>NYAMIRA</v>
          </cell>
        </row>
        <row r="681">
          <cell r="N681" t="str">
            <v>NYAMONYE</v>
          </cell>
        </row>
        <row r="682">
          <cell r="N682" t="str">
            <v>NYAMTIRO</v>
          </cell>
        </row>
        <row r="683">
          <cell r="N683" t="str">
            <v>NYANGANDE</v>
          </cell>
        </row>
        <row r="684">
          <cell r="N684" t="str">
            <v>NYANGORI</v>
          </cell>
        </row>
        <row r="685">
          <cell r="N685" t="str">
            <v>NYANGUSU</v>
          </cell>
        </row>
        <row r="686">
          <cell r="N686" t="str">
            <v>NYANGWESO</v>
          </cell>
        </row>
        <row r="687">
          <cell r="N687" t="str">
            <v>NYANSIONGO</v>
          </cell>
        </row>
        <row r="688">
          <cell r="N688" t="str">
            <v>NYANTURAGO</v>
          </cell>
        </row>
        <row r="689">
          <cell r="N689" t="str">
            <v>NYARAMBA</v>
          </cell>
        </row>
        <row r="690">
          <cell r="N690" t="str">
            <v>NYARU</v>
          </cell>
        </row>
        <row r="691">
          <cell r="N691" t="str">
            <v>NYATIKE</v>
          </cell>
        </row>
        <row r="692">
          <cell r="N692" t="str">
            <v>NYAWARA</v>
          </cell>
        </row>
        <row r="693">
          <cell r="N693" t="str">
            <v>NYAYO STADIUM</v>
          </cell>
        </row>
        <row r="694">
          <cell r="N694" t="str">
            <v>NYERI</v>
          </cell>
        </row>
        <row r="695">
          <cell r="N695" t="str">
            <v>NYILIMA</v>
          </cell>
        </row>
        <row r="696">
          <cell r="N696" t="str">
            <v>NZEEKA</v>
          </cell>
        </row>
        <row r="697">
          <cell r="N697" t="str">
            <v>NZIU</v>
          </cell>
        </row>
        <row r="698">
          <cell r="N698" t="str">
            <v>NZOIA</v>
          </cell>
        </row>
        <row r="699">
          <cell r="N699" t="str">
            <v>OBEKAI</v>
          </cell>
        </row>
        <row r="700">
          <cell r="N700" t="str">
            <v>OBOCH</v>
          </cell>
        </row>
        <row r="701">
          <cell r="N701" t="str">
            <v>OGEMBO</v>
          </cell>
        </row>
        <row r="702">
          <cell r="N702" t="str">
            <v>OGEN</v>
          </cell>
        </row>
        <row r="703">
          <cell r="N703" t="str">
            <v>OGONGO</v>
          </cell>
        </row>
        <row r="704">
          <cell r="N704" t="str">
            <v>OKIA</v>
          </cell>
        </row>
        <row r="705">
          <cell r="N705" t="str">
            <v>OL JORO OROK</v>
          </cell>
        </row>
        <row r="706">
          <cell r="N706" t="str">
            <v>OL KALOU</v>
          </cell>
        </row>
        <row r="707">
          <cell r="N707" t="str">
            <v>OLBUTYO</v>
          </cell>
        </row>
        <row r="708">
          <cell r="N708" t="str">
            <v>OLENGURUONE</v>
          </cell>
        </row>
        <row r="709">
          <cell r="N709" t="str">
            <v>OLKURTO</v>
          </cell>
        </row>
        <row r="710">
          <cell r="N710" t="str">
            <v>OLOLOLUNGA</v>
          </cell>
        </row>
        <row r="711">
          <cell r="N711" t="str">
            <v>OLOOMIRANI</v>
          </cell>
        </row>
        <row r="712">
          <cell r="N712" t="str">
            <v>OLTEPESI</v>
          </cell>
        </row>
        <row r="713">
          <cell r="N713" t="str">
            <v>OMBOGA</v>
          </cell>
        </row>
        <row r="714">
          <cell r="N714" t="str">
            <v>OMOGONCHORO</v>
          </cell>
        </row>
        <row r="715">
          <cell r="N715" t="str">
            <v>ONGATA RONGAI</v>
          </cell>
        </row>
        <row r="716">
          <cell r="N716" t="str">
            <v>ORIANG</v>
          </cell>
        </row>
        <row r="717">
          <cell r="N717" t="str">
            <v>ORTUM</v>
          </cell>
        </row>
        <row r="718">
          <cell r="N718" t="str">
            <v>OTARO</v>
          </cell>
        </row>
        <row r="719">
          <cell r="N719" t="str">
            <v>OTHAYA</v>
          </cell>
        </row>
        <row r="720">
          <cell r="N720" t="str">
            <v>OTHOCH RAKUOM</v>
          </cell>
        </row>
        <row r="721">
          <cell r="N721" t="str">
            <v>OTHORO</v>
          </cell>
        </row>
        <row r="722">
          <cell r="N722" t="str">
            <v>OTONGLO</v>
          </cell>
        </row>
        <row r="723">
          <cell r="N723" t="str">
            <v>OYUGIS</v>
          </cell>
        </row>
        <row r="724">
          <cell r="N724" t="str">
            <v>PALA</v>
          </cell>
        </row>
        <row r="725">
          <cell r="N725" t="str">
            <v>PAP ONDITI</v>
          </cell>
        </row>
        <row r="726">
          <cell r="N726" t="str">
            <v>PARKLANDS</v>
          </cell>
        </row>
        <row r="727">
          <cell r="N727" t="str">
            <v>PASSENGA</v>
          </cell>
        </row>
        <row r="728">
          <cell r="N728" t="str">
            <v>PAW AKUCHE</v>
          </cell>
        </row>
        <row r="729">
          <cell r="N729" t="str">
            <v>PEMBE TATU</v>
          </cell>
        </row>
        <row r="730">
          <cell r="N730" t="str">
            <v>PLATEAU</v>
          </cell>
        </row>
        <row r="731">
          <cell r="N731" t="str">
            <v>PORT VICTORIA</v>
          </cell>
        </row>
        <row r="732">
          <cell r="N732" t="str">
            <v>QUARRY ROAD</v>
          </cell>
        </row>
        <row r="733">
          <cell r="N733" t="str">
            <v>RABUOR</v>
          </cell>
        </row>
        <row r="734">
          <cell r="N734" t="str">
            <v>RACECOURSE ROAD</v>
          </cell>
        </row>
        <row r="735">
          <cell r="N735" t="str">
            <v>RAGENGNI</v>
          </cell>
        </row>
        <row r="736">
          <cell r="N736" t="str">
            <v>RAKWARO</v>
          </cell>
        </row>
        <row r="737">
          <cell r="N737" t="str">
            <v>RAMBA</v>
          </cell>
        </row>
        <row r="738">
          <cell r="N738" t="str">
            <v>RAMULA</v>
          </cell>
        </row>
        <row r="739">
          <cell r="N739" t="str">
            <v>RANEN</v>
          </cell>
        </row>
        <row r="740">
          <cell r="N740" t="str">
            <v>RANGALA</v>
          </cell>
        </row>
        <row r="741">
          <cell r="N741" t="str">
            <v>RANGWE</v>
          </cell>
        </row>
        <row r="742">
          <cell r="N742" t="str">
            <v>RAPOGI</v>
          </cell>
        </row>
        <row r="743">
          <cell r="N743" t="str">
            <v>RATTA</v>
          </cell>
        </row>
        <row r="744">
          <cell r="N744" t="str">
            <v>RERU</v>
          </cell>
        </row>
        <row r="745">
          <cell r="N745" t="str">
            <v>RHAMU</v>
          </cell>
        </row>
        <row r="746">
          <cell r="N746" t="str">
            <v>RIGOMA</v>
          </cell>
        </row>
        <row r="747">
          <cell r="N747" t="str">
            <v>RINGA</v>
          </cell>
        </row>
        <row r="748">
          <cell r="N748" t="str">
            <v>RIOCHANDA</v>
          </cell>
        </row>
        <row r="749">
          <cell r="N749" t="str">
            <v>RIOSIRI</v>
          </cell>
        </row>
        <row r="750">
          <cell r="N750" t="str">
            <v>RIRUTA</v>
          </cell>
        </row>
        <row r="751">
          <cell r="N751" t="str">
            <v>RODI KOPANYI</v>
          </cell>
        </row>
        <row r="752">
          <cell r="N752" t="str">
            <v>RONALD NGALA ST</v>
          </cell>
        </row>
        <row r="753">
          <cell r="N753" t="str">
            <v>RONDA</v>
          </cell>
        </row>
        <row r="754">
          <cell r="N754" t="str">
            <v>RONGAI</v>
          </cell>
        </row>
        <row r="755">
          <cell r="N755" t="str">
            <v>RONGO</v>
          </cell>
        </row>
        <row r="756">
          <cell r="N756" t="str">
            <v>RORET</v>
          </cell>
        </row>
        <row r="757">
          <cell r="N757" t="str">
            <v>RUARAKA</v>
          </cell>
        </row>
        <row r="758">
          <cell r="N758" t="str">
            <v>RUIRU</v>
          </cell>
        </row>
        <row r="759">
          <cell r="N759" t="str">
            <v>RUMURUTU</v>
          </cell>
        </row>
        <row r="760">
          <cell r="N760" t="str">
            <v>RUNYENJES</v>
          </cell>
        </row>
        <row r="761">
          <cell r="N761" t="str">
            <v>RURI</v>
          </cell>
        </row>
        <row r="762">
          <cell r="N762" t="str">
            <v>RURINGU</v>
          </cell>
        </row>
        <row r="763">
          <cell r="N763" t="str">
            <v>RUSINGA</v>
          </cell>
        </row>
        <row r="764">
          <cell r="N764" t="str">
            <v>RUTHANGATI</v>
          </cell>
        </row>
        <row r="765">
          <cell r="N765" t="str">
            <v>SABA SABA</v>
          </cell>
        </row>
        <row r="766">
          <cell r="N766" t="str">
            <v>SABATIA</v>
          </cell>
        </row>
        <row r="767">
          <cell r="N767" t="str">
            <v>SABOTI</v>
          </cell>
        </row>
        <row r="768">
          <cell r="N768" t="str">
            <v>SAGALLA</v>
          </cell>
        </row>
        <row r="769">
          <cell r="N769" t="str">
            <v>SAGANA</v>
          </cell>
        </row>
        <row r="770">
          <cell r="N770" t="str">
            <v>SAMBURU</v>
          </cell>
        </row>
        <row r="771">
          <cell r="N771" t="str">
            <v>SAMITSI</v>
          </cell>
        </row>
        <row r="772">
          <cell r="N772" t="str">
            <v>SARE</v>
          </cell>
        </row>
        <row r="773">
          <cell r="N773" t="str">
            <v>SARIT CENTRE</v>
          </cell>
        </row>
        <row r="774">
          <cell r="N774" t="str">
            <v>SASUMUA ROAD</v>
          </cell>
        </row>
        <row r="775">
          <cell r="N775" t="str">
            <v>SAWAGONGO</v>
          </cell>
        </row>
        <row r="776">
          <cell r="N776" t="str">
            <v>SEGA</v>
          </cell>
        </row>
        <row r="777">
          <cell r="N777" t="str">
            <v>SEREM</v>
          </cell>
        </row>
        <row r="778">
          <cell r="N778" t="str">
            <v>SERETUNIN</v>
          </cell>
        </row>
        <row r="779">
          <cell r="N779" t="str">
            <v>SHABAAB</v>
          </cell>
        </row>
        <row r="780">
          <cell r="N780" t="str">
            <v>SHIANDA</v>
          </cell>
        </row>
        <row r="781">
          <cell r="N781" t="str">
            <v>SHIATSALA</v>
          </cell>
        </row>
        <row r="782">
          <cell r="N782" t="str">
            <v>SHIBULI</v>
          </cell>
        </row>
        <row r="783">
          <cell r="N783" t="str">
            <v>SHIMANYIRO</v>
          </cell>
        </row>
        <row r="784">
          <cell r="N784" t="str">
            <v>SHIMBA HILLS</v>
          </cell>
        </row>
        <row r="785">
          <cell r="N785" t="str">
            <v>SHIYALU</v>
          </cell>
        </row>
        <row r="786">
          <cell r="N786" t="str">
            <v>SIAKAGO</v>
          </cell>
        </row>
        <row r="787">
          <cell r="N787" t="str">
            <v>SIAYA</v>
          </cell>
        </row>
        <row r="788">
          <cell r="N788" t="str">
            <v>SIDINDI</v>
          </cell>
        </row>
        <row r="789">
          <cell r="N789" t="str">
            <v>SIFUYO</v>
          </cell>
        </row>
        <row r="790">
          <cell r="N790" t="str">
            <v>SIGOMRE</v>
          </cell>
        </row>
        <row r="791">
          <cell r="N791" t="str">
            <v>SIGOR</v>
          </cell>
        </row>
        <row r="792">
          <cell r="N792" t="str">
            <v>SIGOTI</v>
          </cell>
        </row>
        <row r="793">
          <cell r="N793" t="str">
            <v>SIGOWET</v>
          </cell>
        </row>
        <row r="794">
          <cell r="N794" t="str">
            <v>SIKINWA</v>
          </cell>
        </row>
        <row r="795">
          <cell r="N795" t="str">
            <v>SILIBWET</v>
          </cell>
        </row>
        <row r="796">
          <cell r="N796" t="str">
            <v>WAJIR</v>
          </cell>
        </row>
        <row r="797">
          <cell r="N797" t="str">
            <v>WAMAGANA</v>
          </cell>
        </row>
        <row r="798">
          <cell r="N798" t="str">
            <v>WAMBA</v>
          </cell>
        </row>
        <row r="799">
          <cell r="N799" t="str">
            <v>MATATHIA</v>
          </cell>
        </row>
        <row r="800">
          <cell r="N800" t="str">
            <v>MATAYOS</v>
          </cell>
        </row>
        <row r="801">
          <cell r="N801" t="str">
            <v>MATEKA</v>
          </cell>
        </row>
        <row r="802">
          <cell r="N802" t="str">
            <v>MATETE</v>
          </cell>
        </row>
        <row r="803">
          <cell r="N803" t="str">
            <v>MATHARE VALLEY</v>
          </cell>
        </row>
        <row r="804">
          <cell r="N804" t="str">
            <v>MATHEINI</v>
          </cell>
        </row>
        <row r="805">
          <cell r="N805" t="str">
            <v>MATHUKI</v>
          </cell>
        </row>
        <row r="806">
          <cell r="N806" t="str">
            <v>MATILIKU</v>
          </cell>
        </row>
        <row r="807">
          <cell r="N807" t="str">
            <v>MATINYANI</v>
          </cell>
        </row>
        <row r="808">
          <cell r="N808" t="str">
            <v>MATOKHO</v>
          </cell>
        </row>
        <row r="809">
          <cell r="N809" t="str">
            <v>MATUGA</v>
          </cell>
        </row>
        <row r="810">
          <cell r="N810" t="str">
            <v>MATUNDA</v>
          </cell>
        </row>
        <row r="811">
          <cell r="N811" t="str">
            <v>MATUU</v>
          </cell>
        </row>
        <row r="812">
          <cell r="N812" t="str">
            <v>MAU NAROK</v>
          </cell>
        </row>
        <row r="813">
          <cell r="N813" t="str">
            <v>MAU SUMMIT</v>
          </cell>
        </row>
        <row r="814">
          <cell r="N814" t="str">
            <v>MAUA</v>
          </cell>
        </row>
        <row r="815">
          <cell r="N815" t="str">
            <v>MAUTAMA</v>
          </cell>
        </row>
        <row r="816">
          <cell r="N816" t="str">
            <v>MAVINDINI</v>
          </cell>
        </row>
        <row r="817">
          <cell r="N817" t="str">
            <v>MAWEGO</v>
          </cell>
        </row>
        <row r="818">
          <cell r="N818" t="str">
            <v>MAYANJA</v>
          </cell>
        </row>
        <row r="819">
          <cell r="N819" t="str">
            <v>MAZERAS</v>
          </cell>
        </row>
        <row r="820">
          <cell r="N820" t="str">
            <v>MBAGATHI</v>
          </cell>
        </row>
        <row r="821">
          <cell r="N821" t="str">
            <v>MBAKALO</v>
          </cell>
        </row>
        <row r="822">
          <cell r="N822" t="str">
            <v>MBALI YA NJIKU</v>
          </cell>
        </row>
        <row r="823">
          <cell r="N823" t="str">
            <v>MBITA</v>
          </cell>
        </row>
        <row r="824">
          <cell r="N824" t="str">
            <v>MBITINI</v>
          </cell>
        </row>
        <row r="825">
          <cell r="N825" t="str">
            <v>MBIUNI</v>
          </cell>
        </row>
        <row r="826">
          <cell r="N826" t="str">
            <v>MBONO ROAD</v>
          </cell>
        </row>
        <row r="827">
          <cell r="N827" t="str">
            <v>MBUMBUNI</v>
          </cell>
        </row>
        <row r="828">
          <cell r="N828" t="str">
            <v>MBUSYANI</v>
          </cell>
        </row>
        <row r="829">
          <cell r="N829" t="str">
            <v>MCHUMBI ROAD</v>
          </cell>
        </row>
        <row r="830">
          <cell r="N830" t="str">
            <v>MCHUNGUCHA</v>
          </cell>
        </row>
        <row r="831">
          <cell r="N831" t="str">
            <v>MENENGAI</v>
          </cell>
        </row>
        <row r="832">
          <cell r="N832" t="str">
            <v>MERIGI</v>
          </cell>
        </row>
        <row r="833">
          <cell r="N833" t="str">
            <v>MERU</v>
          </cell>
        </row>
        <row r="834">
          <cell r="N834" t="str">
            <v>MFANGANO</v>
          </cell>
        </row>
        <row r="835">
          <cell r="N835" t="str">
            <v>MGAMBONYI</v>
          </cell>
        </row>
        <row r="836">
          <cell r="N836" t="str">
            <v>MGANGE</v>
          </cell>
        </row>
        <row r="837">
          <cell r="N837" t="str">
            <v>MIATHENE</v>
          </cell>
        </row>
        <row r="838">
          <cell r="N838" t="str">
            <v>MIGIOINI</v>
          </cell>
        </row>
        <row r="839">
          <cell r="N839" t="str">
            <v>MIGWANI</v>
          </cell>
        </row>
        <row r="840">
          <cell r="N840" t="str">
            <v>MIHARATI</v>
          </cell>
        </row>
        <row r="841">
          <cell r="N841" t="str">
            <v>MIHUTI</v>
          </cell>
        </row>
        <row r="842">
          <cell r="N842" t="str">
            <v>MIKAYI</v>
          </cell>
        </row>
        <row r="843">
          <cell r="N843" t="str">
            <v>MIKINDURI</v>
          </cell>
        </row>
        <row r="844">
          <cell r="N844" t="str">
            <v>MIKUMBUNI</v>
          </cell>
        </row>
        <row r="845">
          <cell r="N845" t="str">
            <v>MILTON SIDING</v>
          </cell>
        </row>
        <row r="846">
          <cell r="N846" t="str">
            <v>MIRANGINE</v>
          </cell>
        </row>
        <row r="847">
          <cell r="N847" t="str">
            <v>MIROGI</v>
          </cell>
        </row>
        <row r="848">
          <cell r="N848" t="str">
            <v>MISIKHU</v>
          </cell>
        </row>
        <row r="849">
          <cell r="N849" t="str">
            <v>MISORI</v>
          </cell>
        </row>
        <row r="850">
          <cell r="N850" t="str">
            <v>MITABONI</v>
          </cell>
        </row>
        <row r="851">
          <cell r="N851" t="str">
            <v>MITUNGUU</v>
          </cell>
        </row>
        <row r="852">
          <cell r="N852" t="str">
            <v>MIU</v>
          </cell>
        </row>
        <row r="853">
          <cell r="N853" t="str">
            <v>MIWANI</v>
          </cell>
        </row>
        <row r="854">
          <cell r="N854" t="str">
            <v>MKOMANI</v>
          </cell>
        </row>
        <row r="855">
          <cell r="N855" t="str">
            <v>MOCHONGOI</v>
          </cell>
        </row>
        <row r="856">
          <cell r="N856" t="str">
            <v>MOGONGA</v>
          </cell>
        </row>
        <row r="857">
          <cell r="N857" t="str">
            <v>MOGOTIO</v>
          </cell>
        </row>
        <row r="858">
          <cell r="N858" t="str">
            <v>MOI AIRPORT</v>
          </cell>
        </row>
        <row r="859">
          <cell r="N859" t="str">
            <v>MOI AVENUE</v>
          </cell>
        </row>
        <row r="860">
          <cell r="N860" t="str">
            <v>MOI BEN</v>
          </cell>
        </row>
        <row r="861">
          <cell r="N861" t="str">
            <v>MOI UNIVERSITY</v>
          </cell>
        </row>
        <row r="862">
          <cell r="N862" t="str">
            <v>MOKOMONI</v>
          </cell>
        </row>
        <row r="863">
          <cell r="N863" t="str">
            <v>MOKOWE</v>
          </cell>
        </row>
        <row r="864">
          <cell r="N864" t="str">
            <v>MOLO</v>
          </cell>
        </row>
        <row r="865">
          <cell r="N865" t="str">
            <v>MOMBASA</v>
          </cell>
        </row>
        <row r="866">
          <cell r="N866" t="str">
            <v>MOSOCHO</v>
          </cell>
        </row>
        <row r="867">
          <cell r="N867" t="str">
            <v>MOSORIOT</v>
          </cell>
        </row>
        <row r="868">
          <cell r="N868" t="str">
            <v>MOSQUE ROAD</v>
          </cell>
        </row>
        <row r="869">
          <cell r="N869" t="str">
            <v>MOYARE</v>
          </cell>
        </row>
        <row r="870">
          <cell r="N870" t="str">
            <v>MPAKA</v>
          </cell>
        </row>
        <row r="871">
          <cell r="N871" t="str">
            <v>MPEKETONI</v>
          </cell>
        </row>
        <row r="872">
          <cell r="N872" t="str">
            <v>MSAMBWENI</v>
          </cell>
        </row>
        <row r="873">
          <cell r="N873" t="str">
            <v>MTITO ANDEI</v>
          </cell>
        </row>
        <row r="874">
          <cell r="N874" t="str">
            <v>MTONGWE</v>
          </cell>
        </row>
        <row r="875">
          <cell r="N875" t="str">
            <v>MTOPANGA</v>
          </cell>
        </row>
        <row r="876">
          <cell r="N876" t="str">
            <v>MTWAPA</v>
          </cell>
        </row>
        <row r="877">
          <cell r="N877" t="str">
            <v>MUBWAYO</v>
          </cell>
        </row>
        <row r="878">
          <cell r="N878" t="str">
            <v>MUDDO GASHE</v>
          </cell>
        </row>
        <row r="879">
          <cell r="N879" t="str">
            <v>MUDHIERO</v>
          </cell>
        </row>
        <row r="880">
          <cell r="N880" t="str">
            <v>MUGUGA</v>
          </cell>
        </row>
        <row r="881">
          <cell r="N881" t="str">
            <v>MUGUMOINI</v>
          </cell>
        </row>
        <row r="882">
          <cell r="N882" t="str">
            <v>MUGUNDA</v>
          </cell>
        </row>
        <row r="883">
          <cell r="N883" t="str">
            <v>MUHOHO</v>
          </cell>
        </row>
        <row r="884">
          <cell r="N884" t="str">
            <v>MUHORONI</v>
          </cell>
        </row>
        <row r="885">
          <cell r="N885" t="str">
            <v>MUHOTETU</v>
          </cell>
        </row>
        <row r="886">
          <cell r="N886" t="str">
            <v>MUHURU BAY</v>
          </cell>
        </row>
        <row r="887">
          <cell r="N887" t="str">
            <v>MUKARARA</v>
          </cell>
        </row>
        <row r="888">
          <cell r="N888" t="str">
            <v>MUKERENJU</v>
          </cell>
        </row>
        <row r="889">
          <cell r="N889" t="str">
            <v>MUKEU</v>
          </cell>
        </row>
        <row r="890">
          <cell r="N890" t="str">
            <v>MUKHE</v>
          </cell>
        </row>
        <row r="891">
          <cell r="N891" t="str">
            <v>MUKURO</v>
          </cell>
        </row>
        <row r="892">
          <cell r="N892" t="str">
            <v>MUKURWEINI</v>
          </cell>
        </row>
        <row r="893">
          <cell r="N893" t="str">
            <v>MULANGO</v>
          </cell>
        </row>
        <row r="894">
          <cell r="N894" t="str">
            <v>MULUANDA</v>
          </cell>
        </row>
        <row r="895">
          <cell r="N895" t="str">
            <v>MUMIAS</v>
          </cell>
        </row>
        <row r="896">
          <cell r="N896" t="str">
            <v>MUNAMI</v>
          </cell>
        </row>
        <row r="897">
          <cell r="N897" t="str">
            <v>MUNDIKA</v>
          </cell>
        </row>
        <row r="898">
          <cell r="N898" t="str">
            <v>MUNDORO</v>
          </cell>
        </row>
        <row r="899">
          <cell r="N899" t="str">
            <v>MUNGATSI</v>
          </cell>
        </row>
        <row r="900">
          <cell r="N900" t="str">
            <v>MUNYU</v>
          </cell>
        </row>
        <row r="901">
          <cell r="N901" t="str">
            <v>MURANGA</v>
          </cell>
        </row>
        <row r="902">
          <cell r="N902" t="str">
            <v>MURARANDIA</v>
          </cell>
        </row>
        <row r="903">
          <cell r="N903" t="str">
            <v>MURUKA</v>
          </cell>
        </row>
        <row r="904">
          <cell r="N904" t="str">
            <v>MURUMBA</v>
          </cell>
        </row>
        <row r="905">
          <cell r="N905" t="str">
            <v>MURUNGARU</v>
          </cell>
        </row>
        <row r="906">
          <cell r="N906" t="str">
            <v>MURURI</v>
          </cell>
        </row>
        <row r="907">
          <cell r="N907" t="str">
            <v>MUSANDA</v>
          </cell>
        </row>
        <row r="908">
          <cell r="N908" t="str">
            <v>MUTHA</v>
          </cell>
        </row>
        <row r="909">
          <cell r="N909" t="str">
            <v>MUTHAARA</v>
          </cell>
        </row>
        <row r="910">
          <cell r="N910" t="str">
            <v>MUTHAIGA</v>
          </cell>
        </row>
        <row r="911">
          <cell r="N911" t="str">
            <v>MUTHETHENI</v>
          </cell>
        </row>
        <row r="912">
          <cell r="N912" t="str">
            <v>MUTHINGA</v>
          </cell>
        </row>
        <row r="913">
          <cell r="N913" t="str">
            <v>MUTHITHI</v>
          </cell>
        </row>
        <row r="914">
          <cell r="N914" t="str">
            <v>MUTITUNI</v>
          </cell>
        </row>
        <row r="915">
          <cell r="N915" t="str">
            <v>MUTOMO</v>
          </cell>
        </row>
        <row r="916">
          <cell r="N916" t="str">
            <v>MUTUATI</v>
          </cell>
        </row>
        <row r="917">
          <cell r="N917" t="str">
            <v>MUTUMBU</v>
          </cell>
        </row>
        <row r="918">
          <cell r="N918" t="str">
            <v>MUUMANDU</v>
          </cell>
        </row>
        <row r="919">
          <cell r="N919" t="str">
            <v>MWALA</v>
          </cell>
        </row>
        <row r="920">
          <cell r="N920" t="str">
            <v>MWATATE</v>
          </cell>
        </row>
        <row r="921">
          <cell r="N921" t="str">
            <v>MWEIGA</v>
          </cell>
        </row>
        <row r="922">
          <cell r="N922" t="str">
            <v>MWERU</v>
          </cell>
        </row>
        <row r="923">
          <cell r="N923" t="str">
            <v>MWINGI</v>
          </cell>
        </row>
        <row r="924">
          <cell r="N924" t="str">
            <v>MYANGA</v>
          </cell>
        </row>
        <row r="925">
          <cell r="N925" t="str">
            <v>NAIRAGE ENKARE</v>
          </cell>
        </row>
        <row r="926">
          <cell r="N926" t="str">
            <v>NAIROBI GPO</v>
          </cell>
        </row>
        <row r="927">
          <cell r="N927" t="str">
            <v>NAISHI</v>
          </cell>
        </row>
        <row r="928">
          <cell r="N928" t="str">
            <v>NAITIRI</v>
          </cell>
        </row>
        <row r="929">
          <cell r="N929" t="str">
            <v>NAIVASHA</v>
          </cell>
        </row>
        <row r="930">
          <cell r="N930" t="str">
            <v>NAKURU</v>
          </cell>
        </row>
        <row r="931">
          <cell r="N931" t="str">
            <v>NALONDO</v>
          </cell>
        </row>
        <row r="932">
          <cell r="N932" t="str">
            <v>NAMANGA</v>
          </cell>
        </row>
        <row r="933">
          <cell r="N933" t="str">
            <v>NAMBACHA</v>
          </cell>
        </row>
        <row r="934">
          <cell r="N934" t="str">
            <v>NAMBALE</v>
          </cell>
        </row>
        <row r="935">
          <cell r="N935" t="str">
            <v>NAMORIO</v>
          </cell>
        </row>
        <row r="936">
          <cell r="N936" t="str">
            <v>NANDI HILLS</v>
          </cell>
        </row>
        <row r="937">
          <cell r="N937" t="str">
            <v>NANDOLIA</v>
          </cell>
        </row>
        <row r="938">
          <cell r="N938" t="str">
            <v>NANGILI</v>
          </cell>
        </row>
        <row r="939">
          <cell r="N939" t="str">
            <v>NANGO</v>
          </cell>
        </row>
        <row r="940">
          <cell r="N940" t="str">
            <v>NANYUKI</v>
          </cell>
        </row>
        <row r="941">
          <cell r="N941" t="str">
            <v>NARO MORU</v>
          </cell>
        </row>
        <row r="942">
          <cell r="N942" t="str">
            <v>NARO SURA</v>
          </cell>
        </row>
        <row r="943">
          <cell r="N943" t="str">
            <v>NAROK</v>
          </cell>
        </row>
        <row r="944">
          <cell r="N944" t="str">
            <v>NDAKAINI</v>
          </cell>
        </row>
        <row r="945">
          <cell r="N945" t="str">
            <v>NDALANI</v>
          </cell>
        </row>
        <row r="946">
          <cell r="N946" t="str">
            <v>NDALAT</v>
          </cell>
        </row>
        <row r="947">
          <cell r="N947" t="str">
            <v>NDALU</v>
          </cell>
        </row>
        <row r="948">
          <cell r="N948" t="str">
            <v>NDANAI</v>
          </cell>
        </row>
        <row r="949">
          <cell r="N949" t="str">
            <v>NDARAGWA</v>
          </cell>
        </row>
        <row r="950">
          <cell r="N950" t="str">
            <v>NDARAWETA</v>
          </cell>
        </row>
        <row r="951">
          <cell r="N951" t="str">
            <v>NDENDERU</v>
          </cell>
        </row>
        <row r="952">
          <cell r="N952" t="str">
            <v>NDERE</v>
          </cell>
        </row>
        <row r="953">
          <cell r="N953" t="str">
            <v>NDERU</v>
          </cell>
        </row>
        <row r="954">
          <cell r="N954" t="str">
            <v>NDHIWA</v>
          </cell>
        </row>
        <row r="955">
          <cell r="N955" t="str">
            <v>NDIGWA</v>
          </cell>
        </row>
        <row r="956">
          <cell r="N956" t="str">
            <v>NDIRU</v>
          </cell>
        </row>
        <row r="957">
          <cell r="N957" t="str">
            <v>NDITHINI</v>
          </cell>
        </row>
        <row r="958">
          <cell r="N958" t="str">
            <v>NDIVISI</v>
          </cell>
        </row>
        <row r="959">
          <cell r="N959" t="str">
            <v>NDOOA</v>
          </cell>
        </row>
        <row r="960">
          <cell r="N960" t="str">
            <v>NDORI</v>
          </cell>
        </row>
        <row r="961">
          <cell r="N961" t="str">
            <v>NDUNYU NJERU</v>
          </cell>
        </row>
        <row r="962">
          <cell r="N962" t="str">
            <v>NGAMBWA</v>
          </cell>
        </row>
        <row r="963">
          <cell r="N963" t="str">
            <v>NGANDURI</v>
          </cell>
        </row>
        <row r="964">
          <cell r="N964" t="str">
            <v>NGANO</v>
          </cell>
        </row>
        <row r="965">
          <cell r="N965" t="str">
            <v>NGARA RD</v>
          </cell>
        </row>
        <row r="966">
          <cell r="N966" t="str">
            <v>NGARUA</v>
          </cell>
        </row>
        <row r="967">
          <cell r="N967" t="str">
            <v>NGECHA</v>
          </cell>
        </row>
        <row r="968">
          <cell r="N968" t="str">
            <v>NGELESHA</v>
          </cell>
        </row>
        <row r="969">
          <cell r="N969" t="str">
            <v>NGEWA</v>
          </cell>
        </row>
        <row r="970">
          <cell r="N970" t="str">
            <v>NGINYANG</v>
          </cell>
        </row>
        <row r="971">
          <cell r="N971" t="str">
            <v>NGIYA</v>
          </cell>
        </row>
        <row r="972">
          <cell r="N972" t="str">
            <v>NGOLIBA</v>
          </cell>
        </row>
        <row r="973">
          <cell r="N973" t="str">
            <v>NGONDA</v>
          </cell>
        </row>
        <row r="974">
          <cell r="N974" t="str">
            <v>NGONG HILLS</v>
          </cell>
        </row>
        <row r="975">
          <cell r="N975" t="str">
            <v>NGONG RD</v>
          </cell>
        </row>
        <row r="976">
          <cell r="N976" t="str">
            <v>NGORIKA</v>
          </cell>
        </row>
        <row r="977">
          <cell r="N977" t="str">
            <v>NGORONGO</v>
          </cell>
        </row>
        <row r="978">
          <cell r="N978" t="str">
            <v>NGUNI</v>
          </cell>
        </row>
        <row r="979">
          <cell r="N979" t="str">
            <v>NGUYOINI</v>
          </cell>
        </row>
        <row r="980">
          <cell r="N980" t="str">
            <v>NGWATA</v>
          </cell>
        </row>
        <row r="981">
          <cell r="N981" t="str">
            <v>NJIPISHIP</v>
          </cell>
        </row>
        <row r="982">
          <cell r="N982" t="str">
            <v>NJORO</v>
          </cell>
        </row>
        <row r="983">
          <cell r="N983" t="str">
            <v>NKONDI</v>
          </cell>
        </row>
        <row r="984">
          <cell r="N984" t="str">
            <v>NKUBU</v>
          </cell>
        </row>
        <row r="985">
          <cell r="N985" t="str">
            <v>NORTH KINANGOP</v>
          </cell>
        </row>
        <row r="986">
          <cell r="N986" t="str">
            <v>NORTH KINANGOP</v>
          </cell>
        </row>
        <row r="987">
          <cell r="N987" t="str">
            <v>NTIMARU</v>
          </cell>
        </row>
        <row r="988">
          <cell r="N988" t="str">
            <v>NUNGUNI</v>
          </cell>
        </row>
        <row r="989">
          <cell r="N989" t="str">
            <v>NUU</v>
          </cell>
        </row>
        <row r="990">
          <cell r="N990" t="str">
            <v>NYABONDO</v>
          </cell>
        </row>
        <row r="991">
          <cell r="N991" t="str">
            <v>NYABURI</v>
          </cell>
        </row>
        <row r="992">
          <cell r="N992" t="str">
            <v>NYACHEKI</v>
          </cell>
        </row>
        <row r="993">
          <cell r="N993" t="str">
            <v>NYADORERA</v>
          </cell>
        </row>
        <row r="994">
          <cell r="N994" t="str">
            <v>NYAHURURU</v>
          </cell>
        </row>
        <row r="995">
          <cell r="N995" t="str">
            <v>NYAKWERE</v>
          </cell>
        </row>
        <row r="996">
          <cell r="N996" t="str">
            <v>NYALI</v>
          </cell>
        </row>
        <row r="997">
          <cell r="N997" t="str">
            <v>NYAMACHE</v>
          </cell>
        </row>
        <row r="998">
          <cell r="N998" t="str">
            <v>WAMUNYU</v>
          </cell>
        </row>
        <row r="999">
          <cell r="N999" t="str">
            <v>WAMWANGI</v>
          </cell>
        </row>
        <row r="1000">
          <cell r="N1000" t="str">
            <v>WANGIGE</v>
          </cell>
        </row>
        <row r="1001">
          <cell r="N1001" t="str">
            <v>WANGURU</v>
          </cell>
        </row>
        <row r="1002">
          <cell r="N1002" t="str">
            <v>WANJENGI</v>
          </cell>
        </row>
        <row r="1003">
          <cell r="N1003" t="str">
            <v>WANJOHI</v>
          </cell>
        </row>
        <row r="1004">
          <cell r="N1004" t="str">
            <v>WATALII ROAD</v>
          </cell>
        </row>
        <row r="1005">
          <cell r="N1005" t="str">
            <v>WATAMU</v>
          </cell>
        </row>
        <row r="1006">
          <cell r="N1006" t="str">
            <v>WEBUYE</v>
          </cell>
        </row>
        <row r="1007">
          <cell r="N1007" t="str">
            <v>WEIWEI</v>
          </cell>
        </row>
        <row r="1008">
          <cell r="N1008" t="str">
            <v>WERUGHA</v>
          </cell>
        </row>
        <row r="1009">
          <cell r="N1009" t="str">
            <v>WESTLANDS</v>
          </cell>
        </row>
        <row r="1010">
          <cell r="N1010" t="str">
            <v>WINAM</v>
          </cell>
        </row>
        <row r="1011">
          <cell r="N1011" t="str">
            <v>WITU</v>
          </cell>
        </row>
        <row r="1012">
          <cell r="N1012" t="str">
            <v>WODANGA</v>
          </cell>
        </row>
        <row r="1013">
          <cell r="N1013" t="str">
            <v>WUNDANYI</v>
          </cell>
        </row>
        <row r="1014">
          <cell r="N1014" t="str">
            <v>YALA</v>
          </cell>
        </row>
        <row r="1015">
          <cell r="N1015" t="str">
            <v>YAYA TOWERS</v>
          </cell>
        </row>
        <row r="1016">
          <cell r="N1016" t="str">
            <v>YOANI</v>
          </cell>
        </row>
        <row r="1017">
          <cell r="N1017" t="str">
            <v>ZIWA</v>
          </cell>
        </row>
        <row r="1018">
          <cell r="N1018" t="str">
            <v>ZOMBE</v>
          </cell>
        </row>
        <row r="1019">
          <cell r="N1019" t="str">
            <v>ARCHER'S P0ST</v>
          </cell>
        </row>
        <row r="1020">
          <cell r="N1020" t="str">
            <v>IIANI YI MANG'ULU</v>
          </cell>
        </row>
        <row r="1021">
          <cell r="N1021" t="str">
            <v>MOI'S BRIDGE</v>
          </cell>
        </row>
      </sheetData>
      <sheetData sheetId="1" refreshError="1"/>
      <sheetData sheetId="2" refreshError="1"/>
      <sheetData sheetId="3" refreshError="1"/>
      <sheetData sheetId="4" refreshError="1"/>
      <sheetData sheetId="5" refreshError="1">
        <row r="3">
          <cell r="B3"/>
        </row>
        <row r="7">
          <cell r="D7"/>
        </row>
        <row r="10">
          <cell r="B10"/>
          <cell r="C10" t="str">
            <v>Y</v>
          </cell>
        </row>
        <row r="11">
          <cell r="B11"/>
        </row>
        <row r="12">
          <cell r="B12"/>
        </row>
        <row r="13">
          <cell r="B13"/>
          <cell r="C13" t="str">
            <v>% rate</v>
          </cell>
        </row>
        <row r="14">
          <cell r="B14"/>
        </row>
        <row r="21">
          <cell r="B21"/>
        </row>
        <row r="22">
          <cell r="B22"/>
        </row>
        <row r="23">
          <cell r="B23"/>
        </row>
        <row r="28">
          <cell r="B28"/>
        </row>
        <row r="29">
          <cell r="B29"/>
        </row>
        <row r="34">
          <cell r="B34"/>
        </row>
        <row r="35">
          <cell r="B35"/>
        </row>
        <row r="40">
          <cell r="A40"/>
          <cell r="H40"/>
          <cell r="K40"/>
          <cell r="O40"/>
          <cell r="R40"/>
        </row>
        <row r="41">
          <cell r="A41"/>
          <cell r="H41"/>
          <cell r="K41"/>
          <cell r="P41">
            <v>0</v>
          </cell>
          <cell r="R41"/>
        </row>
        <row r="42">
          <cell r="P42">
            <v>0</v>
          </cell>
        </row>
        <row r="48">
          <cell r="A48"/>
          <cell r="B48"/>
          <cell r="H48"/>
          <cell r="K48"/>
          <cell r="O48"/>
          <cell r="R48"/>
        </row>
        <row r="49">
          <cell r="A49"/>
          <cell r="H49"/>
          <cell r="K49"/>
          <cell r="P49">
            <v>0</v>
          </cell>
          <cell r="R49"/>
        </row>
        <row r="50">
          <cell r="P50">
            <v>0</v>
          </cell>
        </row>
      </sheetData>
      <sheetData sheetId="6" refreshError="1">
        <row r="64">
          <cell r="H64">
            <v>0</v>
          </cell>
        </row>
        <row r="90">
          <cell r="H90">
            <v>0</v>
          </cell>
        </row>
        <row r="105">
          <cell r="C105">
            <v>0</v>
          </cell>
          <cell r="D105">
            <v>0</v>
          </cell>
          <cell r="E105">
            <v>0</v>
          </cell>
          <cell r="F105">
            <v>0</v>
          </cell>
          <cell r="G105">
            <v>0</v>
          </cell>
          <cell r="H105">
            <v>0</v>
          </cell>
        </row>
        <row r="114">
          <cell r="H114"/>
        </row>
        <row r="115">
          <cell r="H115"/>
        </row>
        <row r="116">
          <cell r="H116"/>
        </row>
        <row r="117">
          <cell r="H117"/>
        </row>
        <row r="118">
          <cell r="H118"/>
        </row>
        <row r="119">
          <cell r="H119"/>
        </row>
        <row r="120">
          <cell r="C120">
            <v>0</v>
          </cell>
          <cell r="D120">
            <v>0</v>
          </cell>
          <cell r="E120">
            <v>0</v>
          </cell>
          <cell r="F120">
            <v>0</v>
          </cell>
          <cell r="G120">
            <v>0</v>
          </cell>
        </row>
      </sheetData>
      <sheetData sheetId="7" refreshError="1">
        <row r="4">
          <cell r="C4">
            <v>0</v>
          </cell>
        </row>
        <row r="13">
          <cell r="C13">
            <v>0</v>
          </cell>
        </row>
        <row r="20">
          <cell r="C20">
            <v>0</v>
          </cell>
        </row>
        <row r="21">
          <cell r="C21">
            <v>0</v>
          </cell>
        </row>
        <row r="22">
          <cell r="C22">
            <v>0</v>
          </cell>
        </row>
        <row r="28">
          <cell r="C28">
            <v>0</v>
          </cell>
        </row>
        <row r="33">
          <cell r="C33">
            <v>0</v>
          </cell>
        </row>
        <row r="39">
          <cell r="C39">
            <v>0</v>
          </cell>
        </row>
        <row r="49">
          <cell r="C49">
            <v>0</v>
          </cell>
        </row>
        <row r="50">
          <cell r="C50">
            <v>0</v>
          </cell>
        </row>
        <row r="58">
          <cell r="C58">
            <v>0</v>
          </cell>
        </row>
        <row r="63">
          <cell r="C63">
            <v>0</v>
          </cell>
        </row>
        <row r="66">
          <cell r="C66">
            <v>0</v>
          </cell>
        </row>
        <row r="76">
          <cell r="C76">
            <v>0</v>
          </cell>
        </row>
        <row r="77">
          <cell r="C77">
            <v>0</v>
          </cell>
        </row>
        <row r="84">
          <cell r="C84">
            <v>0</v>
          </cell>
        </row>
        <row r="93">
          <cell r="C93">
            <v>0</v>
          </cell>
        </row>
      </sheetData>
      <sheetData sheetId="8" refreshError="1"/>
      <sheetData sheetId="9" refreshError="1">
        <row r="3">
          <cell r="E3"/>
          <cell r="I3"/>
        </row>
        <row r="4">
          <cell r="I4"/>
        </row>
        <row r="5">
          <cell r="G5">
            <v>0</v>
          </cell>
          <cell r="H5">
            <v>0</v>
          </cell>
        </row>
        <row r="10">
          <cell r="B10"/>
          <cell r="C10"/>
          <cell r="F10"/>
          <cell r="I10"/>
        </row>
        <row r="11">
          <cell r="C11"/>
          <cell r="F11"/>
          <cell r="I11"/>
        </row>
        <row r="12">
          <cell r="D12">
            <v>0</v>
          </cell>
          <cell r="E12">
            <v>0</v>
          </cell>
          <cell r="F12">
            <v>0</v>
          </cell>
          <cell r="G12">
            <v>0</v>
          </cell>
          <cell r="H12">
            <v>0</v>
          </cell>
          <cell r="I12">
            <v>0</v>
          </cell>
        </row>
        <row r="17">
          <cell r="B17"/>
          <cell r="G17"/>
        </row>
        <row r="18">
          <cell r="G18"/>
        </row>
        <row r="19">
          <cell r="C19">
            <v>0</v>
          </cell>
          <cell r="D19">
            <v>0</v>
          </cell>
          <cell r="E19">
            <v>0</v>
          </cell>
          <cell r="F19">
            <v>0</v>
          </cell>
          <cell r="G19">
            <v>0</v>
          </cell>
        </row>
        <row r="24">
          <cell r="D24"/>
          <cell r="H24"/>
          <cell r="I24"/>
          <cell r="J24"/>
        </row>
        <row r="25">
          <cell r="H25"/>
          <cell r="I25"/>
          <cell r="J25"/>
        </row>
        <row r="26">
          <cell r="H26">
            <v>0</v>
          </cell>
          <cell r="I26">
            <v>0</v>
          </cell>
        </row>
      </sheetData>
      <sheetData sheetId="10" refreshError="1">
        <row r="4">
          <cell r="B4">
            <v>37.5</v>
          </cell>
          <cell r="C4">
            <v>30</v>
          </cell>
          <cell r="D4">
            <v>25</v>
          </cell>
          <cell r="E4">
            <v>12.5</v>
          </cell>
          <cell r="G4" t="str">
            <v>rate</v>
          </cell>
        </row>
        <row r="5">
          <cell r="F5">
            <v>0</v>
          </cell>
          <cell r="G5" t="str">
            <v>balBD</v>
          </cell>
        </row>
        <row r="6">
          <cell r="F6">
            <v>0</v>
          </cell>
          <cell r="G6" t="str">
            <v>curAstVl</v>
          </cell>
        </row>
        <row r="7">
          <cell r="F7">
            <v>0</v>
          </cell>
          <cell r="G7" t="str">
            <v>sales</v>
          </cell>
        </row>
        <row r="8">
          <cell r="B8">
            <v>0</v>
          </cell>
          <cell r="C8">
            <v>0</v>
          </cell>
          <cell r="D8">
            <v>0</v>
          </cell>
          <cell r="E8">
            <v>0</v>
          </cell>
          <cell r="F8">
            <v>0</v>
          </cell>
          <cell r="G8" t="str">
            <v>balWAT</v>
          </cell>
        </row>
        <row r="9">
          <cell r="B9">
            <v>0</v>
          </cell>
          <cell r="C9">
            <v>0</v>
          </cell>
          <cell r="D9">
            <v>0</v>
          </cell>
          <cell r="E9">
            <v>0</v>
          </cell>
          <cell r="F9">
            <v>0</v>
          </cell>
          <cell r="G9" t="str">
            <v>WAT</v>
          </cell>
        </row>
        <row r="10">
          <cell r="B10">
            <v>0</v>
          </cell>
          <cell r="C10">
            <v>0</v>
          </cell>
          <cell r="D10">
            <v>0</v>
          </cell>
          <cell r="E10">
            <v>0</v>
          </cell>
          <cell r="F10">
            <v>0</v>
          </cell>
          <cell r="G10" t="str">
            <v>balCD</v>
          </cell>
        </row>
      </sheetData>
      <sheetData sheetId="11" refreshError="1">
        <row r="4">
          <cell r="D4"/>
          <cell r="H4"/>
          <cell r="I4"/>
          <cell r="J4"/>
        </row>
        <row r="5">
          <cell r="D5"/>
          <cell r="H5"/>
          <cell r="I5"/>
          <cell r="J5"/>
        </row>
        <row r="6">
          <cell r="H6">
            <v>0</v>
          </cell>
          <cell r="I6">
            <v>0</v>
          </cell>
        </row>
      </sheetData>
      <sheetData sheetId="12" refreshError="1"/>
      <sheetData sheetId="13" refreshError="1">
        <row r="3">
          <cell r="B3"/>
          <cell r="D3"/>
        </row>
        <row r="4">
          <cell r="D4"/>
        </row>
        <row r="5">
          <cell r="C5">
            <v>0</v>
          </cell>
        </row>
      </sheetData>
      <sheetData sheetId="14" refreshError="1">
        <row r="3">
          <cell r="A3"/>
        </row>
        <row r="4">
          <cell r="A4"/>
        </row>
        <row r="5">
          <cell r="E5">
            <v>0</v>
          </cell>
        </row>
      </sheetData>
      <sheetData sheetId="15" refreshError="1">
        <row r="3">
          <cell r="F3"/>
        </row>
        <row r="4">
          <cell r="F4"/>
        </row>
        <row r="5">
          <cell r="F5">
            <v>0</v>
          </cell>
        </row>
      </sheetData>
      <sheetData sheetId="16" refreshError="1">
        <row r="3">
          <cell r="B3"/>
          <cell r="D3"/>
        </row>
        <row r="4">
          <cell r="D4"/>
        </row>
        <row r="5">
          <cell r="C5">
            <v>0</v>
          </cell>
        </row>
      </sheetData>
      <sheetData sheetId="17" refreshError="1"/>
      <sheetData sheetId="18" refreshError="1">
        <row r="31">
          <cell r="C31">
            <v>0</v>
          </cell>
          <cell r="D31">
            <v>0</v>
          </cell>
          <cell r="E31">
            <v>0</v>
          </cell>
          <cell r="F31">
            <v>0</v>
          </cell>
          <cell r="G31">
            <v>0</v>
          </cell>
          <cell r="H31">
            <v>0</v>
          </cell>
        </row>
        <row r="32">
          <cell r="H32">
            <v>0</v>
          </cell>
        </row>
        <row r="33">
          <cell r="H33">
            <v>0</v>
          </cell>
        </row>
        <row r="39">
          <cell r="H39"/>
        </row>
        <row r="40">
          <cell r="H40"/>
        </row>
        <row r="41">
          <cell r="H41"/>
        </row>
        <row r="42">
          <cell r="H42"/>
        </row>
        <row r="43">
          <cell r="H43"/>
        </row>
        <row r="44">
          <cell r="H44"/>
        </row>
        <row r="45">
          <cell r="H45"/>
        </row>
        <row r="46">
          <cell r="C46">
            <v>0</v>
          </cell>
          <cell r="D46">
            <v>0</v>
          </cell>
          <cell r="E46">
            <v>0</v>
          </cell>
          <cell r="F46">
            <v>0</v>
          </cell>
          <cell r="G46">
            <v>0</v>
          </cell>
        </row>
        <row r="50">
          <cell r="H50"/>
        </row>
        <row r="51">
          <cell r="H51"/>
        </row>
        <row r="52">
          <cell r="H52"/>
        </row>
        <row r="53">
          <cell r="H53"/>
        </row>
        <row r="54">
          <cell r="H54"/>
        </row>
        <row r="55">
          <cell r="H55"/>
        </row>
        <row r="56">
          <cell r="H56"/>
        </row>
        <row r="57">
          <cell r="C57">
            <v>0</v>
          </cell>
          <cell r="D57">
            <v>0</v>
          </cell>
          <cell r="E57">
            <v>0</v>
          </cell>
          <cell r="F57">
            <v>0</v>
          </cell>
          <cell r="G57">
            <v>0</v>
          </cell>
        </row>
        <row r="61">
          <cell r="C61">
            <v>0</v>
          </cell>
        </row>
        <row r="63">
          <cell r="C63">
            <v>0</v>
          </cell>
        </row>
        <row r="66">
          <cell r="C66">
            <v>0</v>
          </cell>
        </row>
        <row r="67">
          <cell r="C67">
            <v>0</v>
          </cell>
        </row>
        <row r="71">
          <cell r="C71">
            <v>0</v>
          </cell>
        </row>
        <row r="74">
          <cell r="C74">
            <v>0</v>
          </cell>
        </row>
        <row r="81">
          <cell r="C81">
            <v>0</v>
          </cell>
        </row>
      </sheetData>
      <sheetData sheetId="19" refreshError="1">
        <row r="6">
          <cell r="C6"/>
        </row>
        <row r="8">
          <cell r="C8"/>
        </row>
      </sheetData>
      <sheetData sheetId="20" refreshError="1"/>
      <sheetData sheetId="21" refreshError="1"/>
      <sheetData sheetId="22" refreshError="1"/>
      <sheetData sheetId="23" refreshError="1"/>
      <sheetData sheetId="24" refreshError="1"/>
    </sheetDataSet>
  </externalBook>
</externalLink>
</file>

<file path=xl/externalLinks/externalLink2.xml><?xml version="1.0" encoding="utf-8"?>
<externalLink xmlns:r="http://schemas.openxmlformats.org/officeDocument/2006/relationships" xmlns="http://schemas.openxmlformats.org/spreadsheetml/2006/main">
  <externalBook r:id="rId1">
    <sheetNames>
      <sheetName val="Data"/>
      <sheetName val="Read Me"/>
      <sheetName val="Errors"/>
      <sheetName val="Validations"/>
      <sheetName val="ValidationList"/>
      <sheetName val="A_Basic_Info"/>
      <sheetName val="B_Profit_Loss_Account"/>
      <sheetName val="C_Balance_Sheet"/>
      <sheetName val="D_Stock_Analysis"/>
      <sheetName val="E1_IDA_CA"/>
      <sheetName val="E2_CA_WTA_WDV"/>
      <sheetName val="E2_CA_WTA_SLM"/>
      <sheetName val="E_summary_of_Capital_Allowance"/>
      <sheetName val="F_Installment_Tax_Credits"/>
      <sheetName val="G_WHT_Credits"/>
      <sheetName val="H_Advance_Tax_Credits"/>
      <sheetName val="I_IT_Payment_Credits"/>
      <sheetName val="J_DTAA_Credits"/>
      <sheetName val="K_Previous_Years_Losses"/>
      <sheetName val="L_Tax_Computation"/>
      <sheetName val="M_Estate_Trust_Distri_Inco"/>
      <sheetName val="Sheet1"/>
    </sheetNames>
    <sheetDataSet>
      <sheetData sheetId="0">
        <row r="2">
          <cell r="K2" t="str">
            <v>Outside City of Nairobi or Municipalities of Mombasa or Kisumu(above 2 million only)</v>
          </cell>
          <cell r="L2" t="str">
            <v>LC3</v>
          </cell>
          <cell r="N2" t="str">
            <v>KILALA</v>
          </cell>
          <cell r="P2" t="str">
            <v>Baringo</v>
          </cell>
          <cell r="Q2" t="str">
            <v>District1</v>
          </cell>
          <cell r="V2" t="str">
            <v>Business</v>
          </cell>
          <cell r="W2" t="str">
            <v>BUSS</v>
          </cell>
          <cell r="X2">
            <v>0</v>
          </cell>
          <cell r="Z2" t="str">
            <v>Local142</v>
          </cell>
          <cell r="AB2" t="str">
            <v>Koibatek District</v>
          </cell>
          <cell r="AS2" t="str">
            <v>African Banking Corporation  Limited</v>
          </cell>
          <cell r="AY2" t="str">
            <v>NKRUMAH ROAD BRANCH</v>
          </cell>
        </row>
        <row r="3">
          <cell r="K3" t="str">
            <v>Outside Municipality of Nairobi or Mombasa</v>
          </cell>
          <cell r="L3" t="str">
            <v>LC1</v>
          </cell>
          <cell r="N3" t="str">
            <v>KILGORIS</v>
          </cell>
          <cell r="P3" t="str">
            <v>Bomet</v>
          </cell>
          <cell r="Q3" t="str">
            <v>District2</v>
          </cell>
          <cell r="V3" t="str">
            <v>Farming</v>
          </cell>
          <cell r="W3" t="str">
            <v>FARM</v>
          </cell>
          <cell r="Z3" t="str">
            <v>Local143</v>
          </cell>
          <cell r="AB3" t="str">
            <v>Marigat District</v>
          </cell>
          <cell r="AS3" t="str">
            <v>Akiba Bank</v>
          </cell>
          <cell r="AY3" t="str">
            <v>NAKURU</v>
          </cell>
        </row>
        <row r="4">
          <cell r="K4" t="str">
            <v>Within Municipality of Nairobi or Mombasa</v>
          </cell>
          <cell r="L4" t="str">
            <v>LC2</v>
          </cell>
          <cell r="N4" t="str">
            <v>KILIBWONI</v>
          </cell>
          <cell r="P4" t="str">
            <v>Bungoma</v>
          </cell>
          <cell r="Q4" t="str">
            <v>District3</v>
          </cell>
          <cell r="V4" t="str">
            <v>Interest</v>
          </cell>
          <cell r="W4" t="str">
            <v>INT</v>
          </cell>
          <cell r="Z4" t="str">
            <v>Local144</v>
          </cell>
          <cell r="AB4" t="str">
            <v>Mogotio District</v>
          </cell>
          <cell r="AS4" t="str">
            <v>Bank Of Africa (K) Limited</v>
          </cell>
          <cell r="AY4" t="str">
            <v>LIBRA HOUSE</v>
          </cell>
        </row>
        <row r="5">
          <cell r="N5" t="str">
            <v>KILIFI</v>
          </cell>
          <cell r="P5" t="str">
            <v>Busia</v>
          </cell>
          <cell r="Q5" t="str">
            <v>District4</v>
          </cell>
          <cell r="V5" t="str">
            <v>Other</v>
          </cell>
          <cell r="W5" t="str">
            <v>OTHER</v>
          </cell>
          <cell r="Z5" t="str">
            <v>Local139</v>
          </cell>
          <cell r="AB5" t="str">
            <v>Baringo Central District</v>
          </cell>
          <cell r="AS5" t="str">
            <v>Bank Of Baroda</v>
          </cell>
          <cell r="AY5" t="str">
            <v>ELDORET BRANCH</v>
          </cell>
        </row>
        <row r="6">
          <cell r="N6" t="str">
            <v>KILINDINI</v>
          </cell>
          <cell r="P6" t="str">
            <v>Elgeyo/Marakwet</v>
          </cell>
          <cell r="Q6" t="str">
            <v>District5</v>
          </cell>
          <cell r="V6" t="str">
            <v>Rental</v>
          </cell>
          <cell r="W6" t="str">
            <v>RENTAL</v>
          </cell>
          <cell r="Z6" t="str">
            <v>Local140</v>
          </cell>
          <cell r="AB6" t="str">
            <v>Baringo North District</v>
          </cell>
          <cell r="AS6" t="str">
            <v>Bank Of India</v>
          </cell>
          <cell r="AY6" t="str">
            <v>KISUMU BRANCH</v>
          </cell>
        </row>
        <row r="7">
          <cell r="N7" t="str">
            <v>KILINGILI</v>
          </cell>
          <cell r="P7" t="str">
            <v>Embu</v>
          </cell>
          <cell r="Q7" t="str">
            <v>District6</v>
          </cell>
          <cell r="Z7" t="str">
            <v>Local141</v>
          </cell>
          <cell r="AB7" t="str">
            <v>East Pokot District</v>
          </cell>
          <cell r="AS7" t="str">
            <v>Barclays Bank Of Kenya</v>
          </cell>
          <cell r="AY7" t="str">
            <v>MERU BRANCH</v>
          </cell>
        </row>
        <row r="8">
          <cell r="N8" t="str">
            <v>KIMAHURI</v>
          </cell>
          <cell r="P8" t="str">
            <v>Garissa</v>
          </cell>
          <cell r="Q8" t="str">
            <v>District7</v>
          </cell>
          <cell r="Z8" t="str">
            <v>Local147</v>
          </cell>
          <cell r="AB8" t="str">
            <v>Sotik District</v>
          </cell>
          <cell r="AS8" t="str">
            <v>Central Bank Of Kenya</v>
          </cell>
          <cell r="AY8" t="str">
            <v>HEAD OFFICE</v>
          </cell>
        </row>
        <row r="9">
          <cell r="N9" t="str">
            <v>KIMANA</v>
          </cell>
          <cell r="P9" t="str">
            <v>Homa Bay</v>
          </cell>
          <cell r="Q9" t="str">
            <v>District8</v>
          </cell>
          <cell r="Z9" t="str">
            <v>Local146</v>
          </cell>
          <cell r="AB9" t="str">
            <v>Buret District</v>
          </cell>
          <cell r="AS9" t="str">
            <v>Cfc Bank Limited</v>
          </cell>
          <cell r="AY9" t="str">
            <v>WESTLANDS BRANCH</v>
          </cell>
        </row>
        <row r="10">
          <cell r="C10" t="str">
            <v>Van, Pick-ups, Trucks, Lorries</v>
          </cell>
          <cell r="N10" t="str">
            <v>KIMATHI WAY</v>
          </cell>
          <cell r="P10" t="str">
            <v>Isiolo</v>
          </cell>
          <cell r="Q10" t="str">
            <v>District9</v>
          </cell>
          <cell r="Z10" t="str">
            <v>Local145</v>
          </cell>
          <cell r="AB10" t="str">
            <v>Bomet District</v>
          </cell>
          <cell r="AS10" t="str">
            <v>Chase Bank (Kenya) Ltd</v>
          </cell>
          <cell r="AY10" t="str">
            <v>INDUSTRIAL AREA BRANCH</v>
          </cell>
        </row>
        <row r="11">
          <cell r="C11" t="str">
            <v>Saloons, Station-Wagons, Minibuses, Buses, Coaches</v>
          </cell>
          <cell r="N11" t="str">
            <v>KIMBIMBI</v>
          </cell>
          <cell r="P11" t="str">
            <v>Kajiado</v>
          </cell>
          <cell r="Q11" t="str">
            <v>District10</v>
          </cell>
          <cell r="Z11" t="str">
            <v>Local197</v>
          </cell>
          <cell r="AB11" t="str">
            <v>Mt. Elgon District</v>
          </cell>
          <cell r="AS11" t="str">
            <v>Citibank N.A.</v>
          </cell>
        </row>
        <row r="12">
          <cell r="N12" t="str">
            <v>KIMILILI</v>
          </cell>
          <cell r="P12" t="str">
            <v>Kakamega</v>
          </cell>
          <cell r="Q12" t="str">
            <v>District11</v>
          </cell>
          <cell r="Z12" t="str">
            <v>Local192</v>
          </cell>
          <cell r="AB12" t="str">
            <v>Bungoma Central District</v>
          </cell>
          <cell r="AS12" t="str">
            <v>City Finance Bank Ltd</v>
          </cell>
        </row>
        <row r="13">
          <cell r="N13" t="str">
            <v>KIMININI</v>
          </cell>
          <cell r="P13" t="str">
            <v>Kericho</v>
          </cell>
          <cell r="Q13" t="str">
            <v>District12</v>
          </cell>
          <cell r="Z13" t="str">
            <v>Local195</v>
          </cell>
          <cell r="AB13" t="str">
            <v>Bungoma South District</v>
          </cell>
          <cell r="AS13" t="str">
            <v>Co-Operative Bank Of Kenya Ltd</v>
          </cell>
        </row>
        <row r="14">
          <cell r="N14" t="str">
            <v>KIMONING</v>
          </cell>
          <cell r="P14" t="str">
            <v>Kiambu</v>
          </cell>
          <cell r="Q14" t="str">
            <v>District13</v>
          </cell>
          <cell r="Z14" t="str">
            <v>Local196</v>
          </cell>
          <cell r="AB14" t="str">
            <v>Bungoma West District</v>
          </cell>
          <cell r="AS14" t="str">
            <v>Commercial Bank Of Africa Ltd</v>
          </cell>
        </row>
        <row r="15">
          <cell r="N15" t="str">
            <v>KIMULOT</v>
          </cell>
          <cell r="P15" t="str">
            <v>Kilifi</v>
          </cell>
          <cell r="Q15" t="str">
            <v>District14</v>
          </cell>
          <cell r="Z15" t="str">
            <v>Local194</v>
          </cell>
          <cell r="AB15" t="str">
            <v>Bungoma North District</v>
          </cell>
          <cell r="AS15" t="str">
            <v>Consolidated Bank Of Kenya Ltd</v>
          </cell>
        </row>
        <row r="16">
          <cell r="N16" t="str">
            <v>KIMWARER</v>
          </cell>
          <cell r="P16" t="str">
            <v>Kirinyaga</v>
          </cell>
          <cell r="Q16" t="str">
            <v>District15</v>
          </cell>
          <cell r="Z16" t="str">
            <v>Local193</v>
          </cell>
          <cell r="AB16" t="str">
            <v>Bungoma East District</v>
          </cell>
          <cell r="AS16" t="str">
            <v>Credit Bank Limited</v>
          </cell>
        </row>
        <row r="17">
          <cell r="N17" t="str">
            <v>KINAMBA</v>
          </cell>
          <cell r="P17" t="str">
            <v>Kisii</v>
          </cell>
          <cell r="Q17" t="str">
            <v>District16</v>
          </cell>
          <cell r="Z17" t="str">
            <v>Local200</v>
          </cell>
          <cell r="AB17" t="str">
            <v>Samia District</v>
          </cell>
          <cell r="AS17" t="str">
            <v>Development Bank Of Kenya Ltd</v>
          </cell>
        </row>
        <row r="18">
          <cell r="N18" t="str">
            <v>KINANGO</v>
          </cell>
          <cell r="P18" t="str">
            <v>Kisumu</v>
          </cell>
          <cell r="Q18" t="str">
            <v>District17</v>
          </cell>
          <cell r="Z18" t="str">
            <v>Local202</v>
          </cell>
          <cell r="AB18" t="str">
            <v>Teso South District</v>
          </cell>
          <cell r="AS18" t="str">
            <v>Diamond Trust Bank Of Kenya Ltd</v>
          </cell>
        </row>
        <row r="19">
          <cell r="D19" t="str">
            <v>Original</v>
          </cell>
          <cell r="F19" t="str">
            <v>Yes</v>
          </cell>
          <cell r="N19" t="str">
            <v>KINARI</v>
          </cell>
          <cell r="P19" t="str">
            <v>Kitui</v>
          </cell>
          <cell r="Q19" t="str">
            <v>District18</v>
          </cell>
          <cell r="Z19" t="str">
            <v>Local201</v>
          </cell>
          <cell r="AB19" t="str">
            <v>Teso North District</v>
          </cell>
          <cell r="AS19" t="str">
            <v>Dubai Bank (Kenya) Ltd</v>
          </cell>
        </row>
        <row r="20">
          <cell r="D20" t="str">
            <v>Amended</v>
          </cell>
          <cell r="F20" t="str">
            <v>No</v>
          </cell>
          <cell r="N20" t="str">
            <v>KINDARUMA</v>
          </cell>
          <cell r="P20" t="str">
            <v>Kwale</v>
          </cell>
          <cell r="Q20" t="str">
            <v>District19</v>
          </cell>
          <cell r="Z20" t="str">
            <v>Local199</v>
          </cell>
          <cell r="AB20" t="str">
            <v>Busia District</v>
          </cell>
          <cell r="AS20" t="str">
            <v>Equatorial Commercial Ltd</v>
          </cell>
        </row>
        <row r="21">
          <cell r="N21" t="str">
            <v>KINUNGA</v>
          </cell>
          <cell r="P21" t="str">
            <v>Laikipia</v>
          </cell>
          <cell r="Q21" t="str">
            <v>District20</v>
          </cell>
          <cell r="Z21" t="str">
            <v>Local198</v>
          </cell>
          <cell r="AB21" t="str">
            <v>Bunyala District</v>
          </cell>
          <cell r="AS21" t="str">
            <v>Equity Bank Ltd</v>
          </cell>
        </row>
        <row r="22">
          <cell r="N22" t="str">
            <v>KIONYO</v>
          </cell>
          <cell r="P22" t="str">
            <v>Lamu</v>
          </cell>
          <cell r="Q22" t="str">
            <v>District21</v>
          </cell>
          <cell r="Z22" t="str">
            <v>Local149</v>
          </cell>
          <cell r="AB22" t="str">
            <v>Marakwet District</v>
          </cell>
          <cell r="AS22" t="str">
            <v>Family Bank Limited</v>
          </cell>
        </row>
        <row r="23">
          <cell r="N23" t="str">
            <v>KIPEVU</v>
          </cell>
          <cell r="P23" t="str">
            <v>Machakos</v>
          </cell>
          <cell r="Q23" t="str">
            <v>District22</v>
          </cell>
          <cell r="Z23" t="str">
            <v>Local148</v>
          </cell>
          <cell r="AB23" t="str">
            <v>Keiyo District</v>
          </cell>
          <cell r="AS23" t="str">
            <v>Fidelity Commercial Bank Ltd</v>
          </cell>
        </row>
        <row r="24">
          <cell r="N24" t="str">
            <v>KIPKABUS</v>
          </cell>
          <cell r="P24" t="str">
            <v>Makueni</v>
          </cell>
          <cell r="Q24" t="str">
            <v>District23</v>
          </cell>
          <cell r="Z24" t="str">
            <v>Local50</v>
          </cell>
          <cell r="AB24" t="str">
            <v>Mbeere North District</v>
          </cell>
          <cell r="AS24" t="str">
            <v>Fina Bank Ltd</v>
          </cell>
        </row>
        <row r="25">
          <cell r="N25" t="str">
            <v>KIPKARREN RIVER</v>
          </cell>
          <cell r="P25" t="str">
            <v>Mandera</v>
          </cell>
          <cell r="Q25" t="str">
            <v>District24</v>
          </cell>
          <cell r="Z25" t="str">
            <v>Local51</v>
          </cell>
          <cell r="AB25" t="str">
            <v>Mbeere South District</v>
          </cell>
          <cell r="AS25" t="str">
            <v>First Community Bank Ltd</v>
          </cell>
        </row>
        <row r="26">
          <cell r="N26" t="str">
            <v>KIPKELION</v>
          </cell>
          <cell r="P26" t="str">
            <v>Marsabit</v>
          </cell>
          <cell r="Q26" t="str">
            <v>District25</v>
          </cell>
          <cell r="Z26" t="str">
            <v>Local48</v>
          </cell>
          <cell r="AB26" t="str">
            <v>Embu East District</v>
          </cell>
          <cell r="AS26" t="str">
            <v>Giro Bank</v>
          </cell>
        </row>
        <row r="27">
          <cell r="N27" t="str">
            <v>KIPLEGETET</v>
          </cell>
          <cell r="P27" t="str">
            <v>Meru</v>
          </cell>
          <cell r="Q27" t="str">
            <v>District26</v>
          </cell>
          <cell r="Z27" t="str">
            <v>Local49</v>
          </cell>
          <cell r="AB27" t="str">
            <v>Embu West District</v>
          </cell>
          <cell r="AS27" t="str">
            <v>Guardian Bank Ltd</v>
          </cell>
        </row>
        <row r="28">
          <cell r="N28" t="str">
            <v>KIPLELJI</v>
          </cell>
          <cell r="P28" t="str">
            <v>Migori</v>
          </cell>
          <cell r="Q28" t="str">
            <v>District27</v>
          </cell>
          <cell r="Z28" t="str">
            <v>Local96</v>
          </cell>
          <cell r="AB28" t="str">
            <v>Ijara District</v>
          </cell>
          <cell r="AS28" t="str">
            <v>Gulf African Bank</v>
          </cell>
        </row>
        <row r="29">
          <cell r="N29" t="str">
            <v>KIPSAINA</v>
          </cell>
          <cell r="P29" t="str">
            <v>Mombasa</v>
          </cell>
          <cell r="Q29" t="str">
            <v>District28</v>
          </cell>
          <cell r="Z29" t="str">
            <v>Local97</v>
          </cell>
          <cell r="AB29" t="str">
            <v>Lagdera District</v>
          </cell>
          <cell r="AS29" t="str">
            <v>Habib Bank A.G. Zurich</v>
          </cell>
        </row>
        <row r="30">
          <cell r="N30" t="str">
            <v>KIPTABACH</v>
          </cell>
          <cell r="P30" t="str">
            <v>Murang’a</v>
          </cell>
          <cell r="Q30" t="str">
            <v>District29</v>
          </cell>
          <cell r="Z30" t="str">
            <v>Local94</v>
          </cell>
          <cell r="AB30" t="str">
            <v>Fafi District</v>
          </cell>
          <cell r="AS30" t="str">
            <v>Habib Bank Ltd</v>
          </cell>
        </row>
        <row r="31">
          <cell r="N31" t="str">
            <v>KIPTAGICH</v>
          </cell>
          <cell r="P31" t="str">
            <v>Nairobi City</v>
          </cell>
          <cell r="Q31" t="str">
            <v>District30</v>
          </cell>
          <cell r="Z31" t="str">
            <v>Local95</v>
          </cell>
          <cell r="AB31" t="str">
            <v>Garissa District</v>
          </cell>
          <cell r="AS31" t="str">
            <v>HDFC</v>
          </cell>
        </row>
        <row r="32">
          <cell r="N32" t="str">
            <v>KIPTANGWANYI</v>
          </cell>
          <cell r="P32" t="str">
            <v>Nakuru</v>
          </cell>
          <cell r="Q32" t="str">
            <v>District31</v>
          </cell>
          <cell r="Z32" t="str">
            <v>Local121</v>
          </cell>
          <cell r="AB32" t="str">
            <v>Kisumu West District</v>
          </cell>
          <cell r="AS32" t="str">
            <v>Imperial Bank Ltd</v>
          </cell>
        </row>
        <row r="33">
          <cell r="N33" t="str">
            <v>KIPTERE</v>
          </cell>
          <cell r="P33" t="str">
            <v>Nandi</v>
          </cell>
          <cell r="Q33" t="str">
            <v>District32</v>
          </cell>
          <cell r="Z33" t="str">
            <v>Local122</v>
          </cell>
          <cell r="AB33" t="str">
            <v>Nyakach District</v>
          </cell>
          <cell r="AS33" t="str">
            <v>Investments And Mortgages Bank Ltd</v>
          </cell>
        </row>
        <row r="34">
          <cell r="N34" t="str">
            <v>KIPTUGUMO</v>
          </cell>
          <cell r="P34" t="str">
            <v>Narok</v>
          </cell>
          <cell r="Q34" t="str">
            <v>District33</v>
          </cell>
          <cell r="Z34" t="str">
            <v>Local123</v>
          </cell>
          <cell r="AB34" t="str">
            <v>Nyando District</v>
          </cell>
          <cell r="AS34" t="str">
            <v>K-Rep Bank Limited</v>
          </cell>
        </row>
        <row r="35">
          <cell r="N35" t="str">
            <v>KIRENGETI</v>
          </cell>
          <cell r="P35" t="str">
            <v>Nyamira</v>
          </cell>
          <cell r="Q35" t="str">
            <v>District34</v>
          </cell>
          <cell r="Z35" t="str">
            <v>Local111</v>
          </cell>
          <cell r="AB35" t="str">
            <v>Rachuonyo South District</v>
          </cell>
          <cell r="AS35" t="str">
            <v>Kenya Commercial Bank Ltd</v>
          </cell>
        </row>
        <row r="36">
          <cell r="N36" t="str">
            <v>KIRIANI</v>
          </cell>
          <cell r="P36" t="str">
            <v>Nyandarua</v>
          </cell>
          <cell r="Q36" t="str">
            <v>District35</v>
          </cell>
          <cell r="Z36" t="str">
            <v>Local110</v>
          </cell>
          <cell r="AB36" t="str">
            <v>Rachuonyo North District</v>
          </cell>
          <cell r="AS36" t="str">
            <v>Middle East Bank Kenya Ltd</v>
          </cell>
        </row>
        <row r="37">
          <cell r="N37" t="str">
            <v>KIRIE</v>
          </cell>
          <cell r="P37" t="str">
            <v>Nyeri</v>
          </cell>
          <cell r="Q37" t="str">
            <v>District36</v>
          </cell>
          <cell r="Z37" t="str">
            <v>Local107</v>
          </cell>
          <cell r="AB37" t="str">
            <v>Mbita District</v>
          </cell>
          <cell r="AS37" t="str">
            <v>National Bank Of Kenya Ltd</v>
          </cell>
        </row>
        <row r="38">
          <cell r="N38" t="str">
            <v>KIRIMUN</v>
          </cell>
          <cell r="P38" t="str">
            <v>Samburu</v>
          </cell>
          <cell r="Q38" t="str">
            <v>District37</v>
          </cell>
          <cell r="Z38" t="str">
            <v>Local106</v>
          </cell>
          <cell r="AB38" t="str">
            <v>Homa Bay District</v>
          </cell>
          <cell r="AS38" t="str">
            <v>National Industrial Credit Bank Ltd</v>
          </cell>
        </row>
        <row r="39">
          <cell r="N39" t="str">
            <v>KIRISOI</v>
          </cell>
          <cell r="P39" t="str">
            <v>Siaya</v>
          </cell>
          <cell r="Q39" t="str">
            <v>District38</v>
          </cell>
          <cell r="Z39" t="str">
            <v>Local109</v>
          </cell>
          <cell r="AB39" t="str">
            <v>Suba District</v>
          </cell>
          <cell r="AS39" t="str">
            <v>Oriental Commercial Bank</v>
          </cell>
        </row>
        <row r="40">
          <cell r="N40" t="str">
            <v>KIRITIRI</v>
          </cell>
          <cell r="P40" t="str">
            <v>Taita/Taveta</v>
          </cell>
          <cell r="Q40" t="str">
            <v>District39</v>
          </cell>
          <cell r="Z40" t="str">
            <v>Local108</v>
          </cell>
          <cell r="AB40" t="str">
            <v>Ndhiwa District</v>
          </cell>
          <cell r="AS40" t="str">
            <v xml:space="preserve">Paramount Un. Bank </v>
          </cell>
        </row>
        <row r="41">
          <cell r="N41" t="str">
            <v>KIRITU</v>
          </cell>
          <cell r="P41" t="str">
            <v>Tana River</v>
          </cell>
          <cell r="Q41" t="str">
            <v>District40</v>
          </cell>
          <cell r="Z41" t="str">
            <v>Local52</v>
          </cell>
          <cell r="AB41" t="str">
            <v>Garbatula District</v>
          </cell>
          <cell r="AS41" t="str">
            <v>Prime Bank Limited</v>
          </cell>
        </row>
        <row r="42">
          <cell r="N42" t="str">
            <v>KIRIUA</v>
          </cell>
          <cell r="P42" t="str">
            <v>Tharaka-Nithi</v>
          </cell>
          <cell r="Q42" t="str">
            <v>District41</v>
          </cell>
          <cell r="Z42" t="str">
            <v>Local53</v>
          </cell>
          <cell r="AB42" t="str">
            <v>Isiolo District</v>
          </cell>
          <cell r="AS42" t="str">
            <v>Punjab National Bank</v>
          </cell>
        </row>
        <row r="43">
          <cell r="N43" t="str">
            <v>KIROBON</v>
          </cell>
          <cell r="P43" t="str">
            <v>Trans Nzoia</v>
          </cell>
          <cell r="Q43" t="str">
            <v>District42</v>
          </cell>
          <cell r="Z43" t="str">
            <v>Local151</v>
          </cell>
          <cell r="AB43" t="str">
            <v>Kajiado North District</v>
          </cell>
          <cell r="AS43" t="str">
            <v>Southern Credit Banking Corp Ltd</v>
          </cell>
        </row>
        <row r="44">
          <cell r="N44" t="str">
            <v>KIRUARA</v>
          </cell>
          <cell r="P44" t="str">
            <v>Turkana</v>
          </cell>
          <cell r="Q44" t="str">
            <v>District43</v>
          </cell>
          <cell r="Z44" t="str">
            <v>Local150</v>
          </cell>
          <cell r="AB44" t="str">
            <v>Loitoktok District</v>
          </cell>
          <cell r="AS44" t="str">
            <v>Stanbic Bank Kenya Ltd</v>
          </cell>
        </row>
        <row r="45">
          <cell r="N45" t="str">
            <v>KISANANA</v>
          </cell>
          <cell r="P45" t="str">
            <v>Uasin Gishu</v>
          </cell>
          <cell r="Q45" t="str">
            <v>District44</v>
          </cell>
          <cell r="Z45" t="str">
            <v>Local153</v>
          </cell>
          <cell r="AB45" t="str">
            <v>Kajiado South District</v>
          </cell>
          <cell r="AS45" t="str">
            <v>Standard Chartered Bank Kenya Ltd</v>
          </cell>
        </row>
        <row r="46">
          <cell r="N46" t="str">
            <v>KISASI</v>
          </cell>
          <cell r="P46" t="str">
            <v>Vihiga</v>
          </cell>
          <cell r="Q46" t="str">
            <v>District45</v>
          </cell>
          <cell r="Z46" t="str">
            <v>Local152</v>
          </cell>
          <cell r="AB46" t="str">
            <v>Kajiado Central District</v>
          </cell>
          <cell r="AS46" t="str">
            <v>Trans-National Bank Ltd</v>
          </cell>
        </row>
        <row r="47">
          <cell r="N47" t="str">
            <v>KISERIAN</v>
          </cell>
          <cell r="P47" t="str">
            <v>Wajir</v>
          </cell>
          <cell r="Q47" t="str">
            <v>District46</v>
          </cell>
          <cell r="Z47" t="str">
            <v>Local208</v>
          </cell>
          <cell r="AB47" t="str">
            <v>Kakamega South District</v>
          </cell>
          <cell r="AS47" t="str">
            <v>Victoria Commercial Bank Ltd</v>
          </cell>
        </row>
        <row r="48">
          <cell r="N48" t="str">
            <v>KISII</v>
          </cell>
          <cell r="P48" t="str">
            <v>West Pokot</v>
          </cell>
          <cell r="Q48" t="str">
            <v>District47</v>
          </cell>
          <cell r="Z48" t="str">
            <v>Local209</v>
          </cell>
          <cell r="AB48" t="str">
            <v>Lugari District</v>
          </cell>
        </row>
        <row r="49">
          <cell r="N49" t="str">
            <v>KISUMU</v>
          </cell>
          <cell r="Z49" t="str">
            <v>Local204</v>
          </cell>
          <cell r="AB49" t="str">
            <v>Butere District</v>
          </cell>
        </row>
        <row r="50">
          <cell r="N50" t="str">
            <v>KITALE</v>
          </cell>
          <cell r="Z50" t="str">
            <v>Local203</v>
          </cell>
          <cell r="AB50" t="str">
            <v>Mumias District</v>
          </cell>
        </row>
        <row r="51">
          <cell r="N51" t="str">
            <v>KITENGELA</v>
          </cell>
          <cell r="Z51" t="str">
            <v>Local205</v>
          </cell>
          <cell r="AB51" t="str">
            <v>Kakamega Central District</v>
          </cell>
        </row>
        <row r="52">
          <cell r="N52" t="str">
            <v>KITHIMANI</v>
          </cell>
          <cell r="Z52" t="str">
            <v>Local207</v>
          </cell>
          <cell r="AB52" t="str">
            <v>Kakamega North District</v>
          </cell>
        </row>
        <row r="53">
          <cell r="N53" t="str">
            <v>KITHIMU</v>
          </cell>
          <cell r="Z53" t="str">
            <v>Local206</v>
          </cell>
          <cell r="AB53" t="str">
            <v>Kakamega East District</v>
          </cell>
        </row>
        <row r="54">
          <cell r="N54" t="str">
            <v>KITHYOKO</v>
          </cell>
          <cell r="Z54" t="str">
            <v>Local154</v>
          </cell>
          <cell r="AB54" t="str">
            <v>Kericho District</v>
          </cell>
        </row>
        <row r="55">
          <cell r="N55" t="str">
            <v>KITISE</v>
          </cell>
          <cell r="Z55" t="str">
            <v>Local155</v>
          </cell>
          <cell r="AB55" t="str">
            <v>Kipkelion District</v>
          </cell>
        </row>
        <row r="56">
          <cell r="N56" t="str">
            <v>KITIVO</v>
          </cell>
          <cell r="Z56" t="str">
            <v>Local4</v>
          </cell>
          <cell r="AB56" t="str">
            <v>Kandara District</v>
          </cell>
        </row>
        <row r="57">
          <cell r="N57" t="str">
            <v>KITUI</v>
          </cell>
          <cell r="Z57" t="str">
            <v>Local5</v>
          </cell>
          <cell r="AB57" t="str">
            <v>Kiambaa District</v>
          </cell>
        </row>
        <row r="58">
          <cell r="N58" t="str">
            <v>KIUNYU</v>
          </cell>
          <cell r="Z58" t="str">
            <v>Local2</v>
          </cell>
          <cell r="AB58" t="str">
            <v>Githunguri District</v>
          </cell>
        </row>
        <row r="59">
          <cell r="N59" t="str">
            <v>KIUSYANI</v>
          </cell>
          <cell r="Z59" t="str">
            <v>Local3</v>
          </cell>
          <cell r="AB59" t="str">
            <v>Kabete District</v>
          </cell>
        </row>
        <row r="60">
          <cell r="N60" t="str">
            <v>KIVAANI</v>
          </cell>
          <cell r="Z60" t="str">
            <v>Local6</v>
          </cell>
          <cell r="AB60" t="str">
            <v>Kiambu East District</v>
          </cell>
        </row>
        <row r="61">
          <cell r="N61" t="str">
            <v>KIVUNGA</v>
          </cell>
          <cell r="Z61" t="str">
            <v>Local9</v>
          </cell>
          <cell r="AB61" t="str">
            <v>Thika East District</v>
          </cell>
        </row>
        <row r="62">
          <cell r="N62" t="str">
            <v>KOBUJOI</v>
          </cell>
          <cell r="Z62" t="str">
            <v>Local8</v>
          </cell>
          <cell r="AB62" t="str">
            <v>Ruiru District</v>
          </cell>
        </row>
        <row r="63">
          <cell r="N63" t="str">
            <v>KOCHOLYA</v>
          </cell>
          <cell r="Z63" t="str">
            <v>Local1</v>
          </cell>
          <cell r="AB63" t="str">
            <v>Gatundu District</v>
          </cell>
        </row>
        <row r="64">
          <cell r="N64" t="str">
            <v>KODULA</v>
          </cell>
          <cell r="Z64" t="str">
            <v>Local7</v>
          </cell>
          <cell r="AB64" t="str">
            <v>Kiambu West District</v>
          </cell>
        </row>
        <row r="65">
          <cell r="N65" t="str">
            <v>KOIGE</v>
          </cell>
          <cell r="Z65" t="str">
            <v>Local11</v>
          </cell>
          <cell r="AB65" t="str">
            <v>Lari District</v>
          </cell>
        </row>
        <row r="66">
          <cell r="N66" t="str">
            <v>KOILOT</v>
          </cell>
          <cell r="Z66" t="str">
            <v>Local10</v>
          </cell>
          <cell r="AB66" t="str">
            <v>Thika West District</v>
          </cell>
        </row>
        <row r="67">
          <cell r="N67" t="str">
            <v>KOIWA</v>
          </cell>
          <cell r="Z67" t="str">
            <v>Local32</v>
          </cell>
          <cell r="AB67" t="str">
            <v>Kilifi District</v>
          </cell>
        </row>
        <row r="68">
          <cell r="N68" t="str">
            <v>KOJWANG</v>
          </cell>
          <cell r="Z68" t="str">
            <v>Local33</v>
          </cell>
          <cell r="AB68" t="str">
            <v>Malindi District</v>
          </cell>
        </row>
        <row r="69">
          <cell r="N69" t="str">
            <v>KOLA</v>
          </cell>
          <cell r="Z69" t="str">
            <v>Local34</v>
          </cell>
          <cell r="AB69" t="str">
            <v>Kaloleni District</v>
          </cell>
        </row>
        <row r="70">
          <cell r="N70" t="str">
            <v>KOLANYA</v>
          </cell>
          <cell r="Z70" t="str">
            <v>Local14</v>
          </cell>
          <cell r="AB70" t="str">
            <v>Kirinyaga South District</v>
          </cell>
        </row>
        <row r="71">
          <cell r="N71" t="str">
            <v>KOMBEWA</v>
          </cell>
          <cell r="Z71" t="str">
            <v>Local15</v>
          </cell>
          <cell r="AB71" t="str">
            <v>Kirinyaga West District</v>
          </cell>
        </row>
        <row r="72">
          <cell r="N72" t="str">
            <v>KONDELE</v>
          </cell>
          <cell r="Z72" t="str">
            <v>Local12</v>
          </cell>
          <cell r="AB72" t="str">
            <v>Kirinyaga Central District</v>
          </cell>
        </row>
        <row r="73">
          <cell r="N73" t="str">
            <v>KONDIK</v>
          </cell>
          <cell r="Z73" t="str">
            <v>Local13</v>
          </cell>
          <cell r="AB73" t="str">
            <v>Kirinyaga East District</v>
          </cell>
        </row>
        <row r="74">
          <cell r="N74" t="str">
            <v>KONZA</v>
          </cell>
          <cell r="Z74" t="str">
            <v>Local114</v>
          </cell>
          <cell r="AB74" t="str">
            <v>Kanyanya District</v>
          </cell>
        </row>
        <row r="75">
          <cell r="D75" t="str">
            <v>Resident</v>
          </cell>
          <cell r="N75" t="str">
            <v>KOPOLO</v>
          </cell>
          <cell r="Z75" t="str">
            <v>Local115</v>
          </cell>
          <cell r="AB75" t="str">
            <v>Kisii Central District</v>
          </cell>
        </row>
        <row r="76">
          <cell r="D76" t="str">
            <v>Non - Resident</v>
          </cell>
          <cell r="N76" t="str">
            <v>KORACHA</v>
          </cell>
          <cell r="Z76" t="str">
            <v>Local112</v>
          </cell>
          <cell r="AB76" t="str">
            <v>Gucha North District</v>
          </cell>
        </row>
        <row r="77">
          <cell r="N77" t="str">
            <v>KORU</v>
          </cell>
          <cell r="Z77" t="str">
            <v>Local113</v>
          </cell>
          <cell r="AB77" t="str">
            <v>Gucha South District</v>
          </cell>
        </row>
        <row r="78">
          <cell r="N78" t="str">
            <v>KOYONZO</v>
          </cell>
          <cell r="Z78" t="str">
            <v>Local118</v>
          </cell>
          <cell r="AB78" t="str">
            <v>North Masaba District</v>
          </cell>
        </row>
        <row r="79">
          <cell r="N79" t="str">
            <v>KURABEI</v>
          </cell>
          <cell r="Z79" t="str">
            <v>Local119</v>
          </cell>
          <cell r="AB79" t="str">
            <v>Nyamache District</v>
          </cell>
        </row>
        <row r="80">
          <cell r="N80" t="str">
            <v>KUTUS</v>
          </cell>
          <cell r="Z80" t="str">
            <v>Local116</v>
          </cell>
          <cell r="AB80" t="str">
            <v>Kisii South District</v>
          </cell>
        </row>
        <row r="81">
          <cell r="N81" t="str">
            <v>KWALE</v>
          </cell>
          <cell r="Z81" t="str">
            <v>Local117</v>
          </cell>
          <cell r="AB81" t="str">
            <v>Masaba District</v>
          </cell>
        </row>
        <row r="82">
          <cell r="N82" t="str">
            <v>KWANZA</v>
          </cell>
          <cell r="Z82" t="str">
            <v>Local120</v>
          </cell>
          <cell r="AB82" t="str">
            <v>Kisumu East District</v>
          </cell>
        </row>
        <row r="83">
          <cell r="D83" t="str">
            <v>Listed</v>
          </cell>
          <cell r="N83" t="str">
            <v>KWAVONZA</v>
          </cell>
          <cell r="Z83" t="str">
            <v>Local58</v>
          </cell>
          <cell r="AB83" t="str">
            <v>Mutomo District</v>
          </cell>
        </row>
        <row r="84">
          <cell r="D84" t="str">
            <v>Unlisted</v>
          </cell>
          <cell r="N84" t="str">
            <v>KYENI</v>
          </cell>
          <cell r="Z84" t="str">
            <v>Local59</v>
          </cell>
          <cell r="AB84" t="str">
            <v>Mwingi District</v>
          </cell>
        </row>
        <row r="85">
          <cell r="N85" t="str">
            <v>KYUSO</v>
          </cell>
          <cell r="Z85" t="str">
            <v>Local57</v>
          </cell>
          <cell r="AB85" t="str">
            <v>Mutitu District</v>
          </cell>
        </row>
        <row r="86">
          <cell r="N86" t="str">
            <v>LAARE</v>
          </cell>
          <cell r="Z86" t="str">
            <v>Local54</v>
          </cell>
          <cell r="AB86" t="str">
            <v>Kitui Central District</v>
          </cell>
        </row>
        <row r="87">
          <cell r="N87" t="str">
            <v>LABORET</v>
          </cell>
          <cell r="Z87" t="str">
            <v>Local55</v>
          </cell>
          <cell r="AB87" t="str">
            <v>Kitui West District</v>
          </cell>
        </row>
        <row r="88">
          <cell r="N88" t="str">
            <v>LABUIYWO</v>
          </cell>
          <cell r="Z88" t="str">
            <v>Local56</v>
          </cell>
          <cell r="AB88" t="str">
            <v>Kyuso District</v>
          </cell>
        </row>
        <row r="89">
          <cell r="N89" t="str">
            <v>LADHRI AWASI</v>
          </cell>
          <cell r="Z89" t="str">
            <v>Local36</v>
          </cell>
          <cell r="AB89" t="str">
            <v>Kwale District</v>
          </cell>
        </row>
        <row r="90">
          <cell r="A90" t="str">
            <v xml:space="preserve">  in proper format(dd/mm/yyyy).</v>
          </cell>
          <cell r="N90" t="str">
            <v>LAMU</v>
          </cell>
          <cell r="Z90" t="str">
            <v>Local35</v>
          </cell>
          <cell r="AB90" t="str">
            <v>Kinango District</v>
          </cell>
        </row>
        <row r="91">
          <cell r="A91" t="str">
            <v>Please enter numeric value Only.</v>
          </cell>
          <cell r="N91" t="str">
            <v>LAMURIA</v>
          </cell>
          <cell r="Z91" t="str">
            <v>Local38</v>
          </cell>
          <cell r="AB91" t="str">
            <v>Matuga</v>
          </cell>
        </row>
        <row r="92">
          <cell r="A92" t="str">
            <v>Please enter alphanumeric value. Only Special characters like (space , . / - :) are allowed.</v>
          </cell>
          <cell r="N92" t="str">
            <v>LANET</v>
          </cell>
          <cell r="Z92" t="str">
            <v>Local37</v>
          </cell>
          <cell r="AB92" t="str">
            <v>Msabweni District</v>
          </cell>
        </row>
        <row r="93">
          <cell r="N93" t="str">
            <v>LANGAS</v>
          </cell>
          <cell r="Z93" t="str">
            <v>Local158</v>
          </cell>
          <cell r="AB93" t="str">
            <v>Laikipia West District</v>
          </cell>
        </row>
        <row r="94">
          <cell r="A94" t="str">
            <v xml:space="preserve"> is mandatory field.</v>
          </cell>
          <cell r="N94" t="str">
            <v>LANGATA</v>
          </cell>
          <cell r="Z94" t="str">
            <v>Local159</v>
          </cell>
          <cell r="AB94" t="str">
            <v>Laikipia Central District</v>
          </cell>
        </row>
        <row r="95">
          <cell r="N95" t="str">
            <v>LAVINGTON</v>
          </cell>
          <cell r="Z95" t="str">
            <v>Local160</v>
          </cell>
          <cell r="AB95" t="str">
            <v>Nyahururu District</v>
          </cell>
        </row>
        <row r="96">
          <cell r="N96" t="str">
            <v>LELA</v>
          </cell>
          <cell r="Z96" t="str">
            <v>Local156</v>
          </cell>
          <cell r="AB96" t="str">
            <v>Laikipia East District</v>
          </cell>
        </row>
        <row r="97">
          <cell r="A97" t="str">
            <v>Please enter Date between Return Period specified and in dd/mm/yyyy proper format.</v>
          </cell>
          <cell r="N97" t="str">
            <v>LENGITA</v>
          </cell>
          <cell r="Z97" t="str">
            <v>Local157</v>
          </cell>
          <cell r="AB97" t="str">
            <v>Laikipia North District</v>
          </cell>
        </row>
        <row r="98">
          <cell r="A98" t="str">
            <v>Please enter alphanumeric value. Special characters are not allowed.</v>
          </cell>
          <cell r="N98" t="str">
            <v>LESERU</v>
          </cell>
          <cell r="Z98" t="str">
            <v>Local39</v>
          </cell>
          <cell r="AB98" t="str">
            <v>Lamu District</v>
          </cell>
        </row>
        <row r="99">
          <cell r="N99" t="str">
            <v>LESHAU</v>
          </cell>
          <cell r="Z99" t="str">
            <v>Local61</v>
          </cell>
          <cell r="AB99" t="str">
            <v>Kangundo District</v>
          </cell>
        </row>
        <row r="100">
          <cell r="N100" t="str">
            <v>LESSOS</v>
          </cell>
          <cell r="Z100" t="str">
            <v>Local62</v>
          </cell>
          <cell r="AB100" t="str">
            <v>Kathiani District</v>
          </cell>
        </row>
        <row r="101">
          <cell r="D101" t="str">
            <v>Yes</v>
          </cell>
          <cell r="N101" t="str">
            <v>LIKONI</v>
          </cell>
          <cell r="Z101" t="str">
            <v>Local63</v>
          </cell>
          <cell r="AB101" t="str">
            <v>Machakos District</v>
          </cell>
        </row>
        <row r="102">
          <cell r="D102" t="str">
            <v>No</v>
          </cell>
          <cell r="N102" t="str">
            <v>LIMURU</v>
          </cell>
          <cell r="Z102" t="str">
            <v>Local60</v>
          </cell>
          <cell r="AB102" t="str">
            <v>Masinga District</v>
          </cell>
        </row>
        <row r="103">
          <cell r="N103" t="str">
            <v>LITA</v>
          </cell>
          <cell r="Z103" t="str">
            <v>Local65</v>
          </cell>
          <cell r="AB103" t="str">
            <v>Yatta District</v>
          </cell>
        </row>
        <row r="104">
          <cell r="N104" t="str">
            <v>LITEIN</v>
          </cell>
          <cell r="Z104" t="str">
            <v>Local64</v>
          </cell>
          <cell r="AB104" t="str">
            <v>Mwala District</v>
          </cell>
        </row>
        <row r="105">
          <cell r="N105" t="str">
            <v>LODWAR</v>
          </cell>
          <cell r="Z105" t="str">
            <v>Local71</v>
          </cell>
          <cell r="AB105" t="str">
            <v>Mbooni West District</v>
          </cell>
        </row>
        <row r="106">
          <cell r="N106" t="str">
            <v>LOITOKITOK</v>
          </cell>
          <cell r="Z106" t="str">
            <v>Local66</v>
          </cell>
          <cell r="AB106" t="str">
            <v>Kathonzweni District</v>
          </cell>
        </row>
        <row r="107">
          <cell r="N107" t="str">
            <v>LOIYANGALANI</v>
          </cell>
          <cell r="Z107" t="str">
            <v>Local70</v>
          </cell>
          <cell r="AB107" t="str">
            <v>Mbooni East District</v>
          </cell>
        </row>
        <row r="108">
          <cell r="N108" t="str">
            <v>LOKICHAR</v>
          </cell>
          <cell r="Z108" t="str">
            <v>Local69</v>
          </cell>
          <cell r="AB108" t="str">
            <v>Makueni District</v>
          </cell>
        </row>
        <row r="109">
          <cell r="N109" t="str">
            <v>LOKICHOGGIO</v>
          </cell>
          <cell r="Z109" t="str">
            <v>Local72</v>
          </cell>
          <cell r="AB109" t="str">
            <v>Mukaa District</v>
          </cell>
        </row>
        <row r="110">
          <cell r="N110" t="str">
            <v>LOKITAUNG</v>
          </cell>
          <cell r="Z110" t="str">
            <v>Local73</v>
          </cell>
          <cell r="AB110" t="str">
            <v>Nzaui District</v>
          </cell>
        </row>
        <row r="111">
          <cell r="N111" t="str">
            <v>LOKORI</v>
          </cell>
          <cell r="Z111" t="str">
            <v>Local67</v>
          </cell>
          <cell r="AB111" t="str">
            <v>Kibwezi District</v>
          </cell>
        </row>
        <row r="112">
          <cell r="N112" t="str">
            <v>LOLGORIAN</v>
          </cell>
          <cell r="Z112" t="str">
            <v>Local68</v>
          </cell>
          <cell r="AB112" t="str">
            <v>Kilungu District</v>
          </cell>
        </row>
        <row r="113">
          <cell r="N113" t="str">
            <v>LOLWE</v>
          </cell>
          <cell r="Z113" t="str">
            <v>Local98</v>
          </cell>
          <cell r="AB113" t="str">
            <v>Mandera Central District</v>
          </cell>
        </row>
        <row r="114">
          <cell r="N114" t="str">
            <v>LONDIAN</v>
          </cell>
          <cell r="Z114" t="str">
            <v>Local99</v>
          </cell>
          <cell r="AB114" t="str">
            <v>Mandera East District</v>
          </cell>
        </row>
        <row r="115">
          <cell r="N115" t="str">
            <v>LONGISA</v>
          </cell>
          <cell r="Z115" t="str">
            <v>Local101</v>
          </cell>
          <cell r="AB115" t="str">
            <v>Mandera West District</v>
          </cell>
        </row>
        <row r="116">
          <cell r="N116" t="str">
            <v>LONGONOT</v>
          </cell>
          <cell r="Z116" t="str">
            <v>Local100</v>
          </cell>
          <cell r="AB116" t="str">
            <v>Mandera North District</v>
          </cell>
        </row>
        <row r="117">
          <cell r="N117" t="str">
            <v>LORUGUM</v>
          </cell>
          <cell r="Z117" t="str">
            <v>Local74</v>
          </cell>
          <cell r="AB117" t="str">
            <v>Marsabit District</v>
          </cell>
        </row>
        <row r="118">
          <cell r="N118" t="str">
            <v>LOWER KABETE</v>
          </cell>
          <cell r="Z118" t="str">
            <v>Local75</v>
          </cell>
          <cell r="AB118" t="str">
            <v>Marsabit North District</v>
          </cell>
        </row>
        <row r="119">
          <cell r="N119" t="str">
            <v>LUANDA</v>
          </cell>
          <cell r="Z119" t="str">
            <v>Local77</v>
          </cell>
          <cell r="AB119" t="str">
            <v>Moyale District</v>
          </cell>
        </row>
        <row r="120">
          <cell r="N120" t="str">
            <v>LUANDANYI</v>
          </cell>
          <cell r="Z120" t="str">
            <v>Local76</v>
          </cell>
          <cell r="AB120" t="str">
            <v>Marsabit South District</v>
          </cell>
        </row>
        <row r="121">
          <cell r="N121" t="str">
            <v>LUANDETI</v>
          </cell>
          <cell r="Z121" t="str">
            <v>Local81</v>
          </cell>
          <cell r="AB121" t="str">
            <v>Igembe South District</v>
          </cell>
        </row>
        <row r="122">
          <cell r="N122" t="str">
            <v>LUBAO</v>
          </cell>
          <cell r="Z122" t="str">
            <v>Local82</v>
          </cell>
          <cell r="AB122" t="str">
            <v>Imenti North District</v>
          </cell>
        </row>
        <row r="123">
          <cell r="N123" t="str">
            <v>LUGARI</v>
          </cell>
          <cell r="Z123" t="str">
            <v>Local80</v>
          </cell>
          <cell r="AB123" t="str">
            <v>Igembe North District</v>
          </cell>
        </row>
        <row r="124">
          <cell r="N124" t="str">
            <v>LUGINGO</v>
          </cell>
          <cell r="Z124" t="str">
            <v>Local78</v>
          </cell>
          <cell r="AB124" t="str">
            <v>Maara District</v>
          </cell>
        </row>
        <row r="125">
          <cell r="N125" t="str">
            <v>LUGULU</v>
          </cell>
          <cell r="Z125" t="str">
            <v>Local79</v>
          </cell>
          <cell r="AB125" t="str">
            <v>Buuri District</v>
          </cell>
        </row>
        <row r="126">
          <cell r="N126" t="str">
            <v>LUHANO</v>
          </cell>
          <cell r="Z126" t="str">
            <v>Local86</v>
          </cell>
          <cell r="AB126" t="str">
            <v>Tigania East District</v>
          </cell>
        </row>
        <row r="127">
          <cell r="N127" t="str">
            <v>LUKOLIS</v>
          </cell>
          <cell r="Z127" t="str">
            <v>Local87</v>
          </cell>
          <cell r="AB127" t="str">
            <v>Tigania West District</v>
          </cell>
        </row>
        <row r="128">
          <cell r="N128" t="str">
            <v>LUKORE</v>
          </cell>
          <cell r="Z128" t="str">
            <v>Local85</v>
          </cell>
          <cell r="AB128" t="str">
            <v>Meru South District</v>
          </cell>
        </row>
        <row r="129">
          <cell r="N129" t="str">
            <v>LUKUME</v>
          </cell>
          <cell r="Z129" t="str">
            <v>Local83</v>
          </cell>
          <cell r="AB129" t="str">
            <v>Imenti South District</v>
          </cell>
        </row>
        <row r="130">
          <cell r="N130" t="str">
            <v>LUKUSI</v>
          </cell>
          <cell r="Z130" t="str">
            <v>Local84</v>
          </cell>
          <cell r="AB130" t="str">
            <v>Meru Central District</v>
          </cell>
        </row>
        <row r="131">
          <cell r="N131" t="str">
            <v>LUMAKANDA</v>
          </cell>
          <cell r="Z131" t="str">
            <v>Local127</v>
          </cell>
          <cell r="AB131" t="str">
            <v>Nyatike District</v>
          </cell>
        </row>
        <row r="132">
          <cell r="N132" t="str">
            <v>LUNGALUNGA</v>
          </cell>
          <cell r="Z132" t="str">
            <v>Local126</v>
          </cell>
          <cell r="AB132" t="str">
            <v>Migori District</v>
          </cell>
        </row>
        <row r="133">
          <cell r="N133" t="str">
            <v>LUNZA</v>
          </cell>
          <cell r="Z133" t="str">
            <v>Local129</v>
          </cell>
          <cell r="AB133" t="str">
            <v>Uriri District</v>
          </cell>
        </row>
        <row r="134">
          <cell r="N134" t="str">
            <v>LURAMBI</v>
          </cell>
          <cell r="Z134" t="str">
            <v>Local128</v>
          </cell>
          <cell r="AB134" t="str">
            <v>Rongo District</v>
          </cell>
        </row>
        <row r="135">
          <cell r="N135" t="str">
            <v>LUSINGETI</v>
          </cell>
          <cell r="Z135" t="str">
            <v>Local124</v>
          </cell>
          <cell r="AB135" t="str">
            <v>Kuria East District</v>
          </cell>
        </row>
        <row r="136">
          <cell r="N136" t="str">
            <v>LUSIOLA</v>
          </cell>
          <cell r="Z136" t="str">
            <v>Local125</v>
          </cell>
          <cell r="AB136" t="str">
            <v>Kuria West District</v>
          </cell>
        </row>
        <row r="137">
          <cell r="N137" t="str">
            <v>LUTASO</v>
          </cell>
          <cell r="Z137" t="str">
            <v>Local40</v>
          </cell>
          <cell r="AB137" t="str">
            <v>Kilindini District</v>
          </cell>
        </row>
        <row r="138">
          <cell r="N138" t="str">
            <v>MAAI MAHIU</v>
          </cell>
          <cell r="Z138" t="str">
            <v>Local41</v>
          </cell>
          <cell r="AB138" t="str">
            <v>Mombasa District</v>
          </cell>
        </row>
        <row r="139">
          <cell r="N139" t="str">
            <v>MABUSI</v>
          </cell>
          <cell r="Z139" t="str">
            <v>Local18</v>
          </cell>
          <cell r="AB139" t="str">
            <v>Muranga East District</v>
          </cell>
        </row>
        <row r="140">
          <cell r="N140" t="str">
            <v>MACHAKOS</v>
          </cell>
          <cell r="Z140" t="str">
            <v>Local19</v>
          </cell>
          <cell r="AB140" t="str">
            <v>Muranga South District</v>
          </cell>
        </row>
        <row r="141">
          <cell r="N141" t="str">
            <v>MADARAKA</v>
          </cell>
          <cell r="Z141" t="str">
            <v>Local16</v>
          </cell>
          <cell r="AB141" t="str">
            <v>Kigumo District</v>
          </cell>
        </row>
        <row r="142">
          <cell r="N142" t="str">
            <v>MADEYA</v>
          </cell>
          <cell r="Z142" t="str">
            <v>Local17</v>
          </cell>
          <cell r="AB142" t="str">
            <v>Gatanga District</v>
          </cell>
        </row>
        <row r="143">
          <cell r="N143" t="str">
            <v>MADIANY</v>
          </cell>
          <cell r="Z143" t="str">
            <v>Local92</v>
          </cell>
          <cell r="AB143" t="str">
            <v>Nairobi West District</v>
          </cell>
        </row>
        <row r="144">
          <cell r="N144" t="str">
            <v>MADINA</v>
          </cell>
          <cell r="Z144" t="str">
            <v>Local93</v>
          </cell>
          <cell r="AB144" t="str">
            <v>Westlands District</v>
          </cell>
        </row>
        <row r="145">
          <cell r="N145" t="str">
            <v>MAGADA</v>
          </cell>
          <cell r="Z145" t="str">
            <v>Local90</v>
          </cell>
          <cell r="AB145" t="str">
            <v>Nairobi East District</v>
          </cell>
        </row>
        <row r="146">
          <cell r="N146" t="str">
            <v>MAGADI</v>
          </cell>
          <cell r="Z146" t="str">
            <v>Local91</v>
          </cell>
          <cell r="AB146" t="str">
            <v>Nairobi North District</v>
          </cell>
        </row>
        <row r="147">
          <cell r="N147" t="str">
            <v>MAGETA</v>
          </cell>
          <cell r="Z147" t="str">
            <v>Local164</v>
          </cell>
          <cell r="AB147" t="str">
            <v>Nakuru North District</v>
          </cell>
        </row>
        <row r="148">
          <cell r="N148" t="str">
            <v>MAGO</v>
          </cell>
          <cell r="Z148" t="str">
            <v>Local165</v>
          </cell>
          <cell r="AB148" t="str">
            <v>Njoro District</v>
          </cell>
        </row>
        <row r="149">
          <cell r="N149" t="str">
            <v>MAGOMBO</v>
          </cell>
          <cell r="Z149" t="str">
            <v>Local163</v>
          </cell>
          <cell r="AB149" t="str">
            <v>Nakuru District</v>
          </cell>
        </row>
        <row r="150">
          <cell r="N150" t="str">
            <v>MAGUMONI</v>
          </cell>
          <cell r="Z150" t="str">
            <v>Local161</v>
          </cell>
          <cell r="AB150" t="str">
            <v>Molo District</v>
          </cell>
        </row>
        <row r="151">
          <cell r="N151" t="str">
            <v>MAGUNGA</v>
          </cell>
          <cell r="Z151" t="str">
            <v>Local162</v>
          </cell>
          <cell r="AB151" t="str">
            <v>Naivasha District</v>
          </cell>
        </row>
        <row r="152">
          <cell r="N152" t="str">
            <v>MAGUTUNI</v>
          </cell>
          <cell r="Z152" t="str">
            <v>Local166</v>
          </cell>
          <cell r="AB152" t="str">
            <v>Nandi Central District</v>
          </cell>
        </row>
        <row r="153">
          <cell r="N153" t="str">
            <v>MAGWAGWA</v>
          </cell>
          <cell r="Z153" t="str">
            <v>Local167</v>
          </cell>
          <cell r="AB153" t="str">
            <v>Nandi East District</v>
          </cell>
        </row>
        <row r="154">
          <cell r="N154" t="str">
            <v>MAHANGA</v>
          </cell>
          <cell r="Z154" t="str">
            <v>Local170</v>
          </cell>
          <cell r="AB154" t="str">
            <v>Tinderet District</v>
          </cell>
        </row>
        <row r="155">
          <cell r="N155" t="str">
            <v>MAIELLA</v>
          </cell>
          <cell r="Z155" t="str">
            <v>Local169</v>
          </cell>
          <cell r="AB155" t="str">
            <v>Nandi South District</v>
          </cell>
        </row>
        <row r="156">
          <cell r="N156" t="str">
            <v>MAIRO INYA</v>
          </cell>
          <cell r="Z156" t="str">
            <v>Local168</v>
          </cell>
          <cell r="AB156" t="str">
            <v>Nandi North District</v>
          </cell>
        </row>
        <row r="157">
          <cell r="N157" t="str">
            <v>MAJI MAZURI</v>
          </cell>
          <cell r="Z157" t="str">
            <v>Local172</v>
          </cell>
          <cell r="AB157" t="str">
            <v>Narok North District</v>
          </cell>
        </row>
        <row r="158">
          <cell r="N158" t="str">
            <v>MAKIMENY</v>
          </cell>
          <cell r="Z158" t="str">
            <v>Local173</v>
          </cell>
          <cell r="AB158" t="str">
            <v>Narok South District</v>
          </cell>
        </row>
        <row r="159">
          <cell r="N159" t="str">
            <v>MAKINDU</v>
          </cell>
          <cell r="Z159" t="str">
            <v>Local171</v>
          </cell>
          <cell r="AB159" t="str">
            <v>Trans Mara District</v>
          </cell>
        </row>
        <row r="160">
          <cell r="N160" t="str">
            <v>MAKONGENI</v>
          </cell>
          <cell r="Z160" t="str">
            <v>Local133</v>
          </cell>
          <cell r="AB160" t="str">
            <v>Nyamira District</v>
          </cell>
        </row>
        <row r="161">
          <cell r="N161" t="str">
            <v>MAKTAU</v>
          </cell>
          <cell r="Z161" t="str">
            <v>Local134</v>
          </cell>
          <cell r="AB161" t="str">
            <v>Nyamira North District</v>
          </cell>
        </row>
        <row r="162">
          <cell r="N162" t="str">
            <v>MAKUENI</v>
          </cell>
          <cell r="Z162" t="str">
            <v>Local135</v>
          </cell>
          <cell r="AB162" t="str">
            <v>Kitutu District</v>
          </cell>
        </row>
        <row r="163">
          <cell r="N163" t="str">
            <v>MAKUMBI</v>
          </cell>
          <cell r="Z163" t="str">
            <v>Local130</v>
          </cell>
          <cell r="AB163" t="str">
            <v>Borabu District</v>
          </cell>
        </row>
        <row r="164">
          <cell r="N164" t="str">
            <v>MAKUNGA</v>
          </cell>
          <cell r="Z164" t="str">
            <v>Local131</v>
          </cell>
          <cell r="AB164" t="str">
            <v>Manga District</v>
          </cell>
        </row>
        <row r="165">
          <cell r="N165" t="str">
            <v>MAKUPA</v>
          </cell>
          <cell r="Z165" t="str">
            <v>Local132</v>
          </cell>
          <cell r="AB165" t="str">
            <v>Marani District</v>
          </cell>
        </row>
        <row r="166">
          <cell r="N166" t="str">
            <v>MAKUTANO</v>
          </cell>
          <cell r="Z166" t="str">
            <v>Local20</v>
          </cell>
          <cell r="AB166" t="str">
            <v>Kipipiri District</v>
          </cell>
        </row>
        <row r="167">
          <cell r="N167" t="str">
            <v>MAKUYU</v>
          </cell>
          <cell r="Z167" t="str">
            <v>Local21</v>
          </cell>
          <cell r="AB167" t="str">
            <v>Mirangini District</v>
          </cell>
        </row>
        <row r="168">
          <cell r="N168" t="str">
            <v>MALAHA</v>
          </cell>
          <cell r="Z168" t="str">
            <v>Local22</v>
          </cell>
          <cell r="AB168" t="str">
            <v>Nyandarua Central District</v>
          </cell>
        </row>
        <row r="169">
          <cell r="N169" t="str">
            <v>MALAKISI</v>
          </cell>
          <cell r="Z169" t="str">
            <v>Local25</v>
          </cell>
          <cell r="AB169" t="str">
            <v>Nyandarua West District</v>
          </cell>
        </row>
        <row r="170">
          <cell r="N170" t="str">
            <v>MALAVA</v>
          </cell>
          <cell r="Z170" t="str">
            <v>Local24</v>
          </cell>
          <cell r="AB170" t="str">
            <v>Nyandarua South District</v>
          </cell>
        </row>
        <row r="171">
          <cell r="N171" t="str">
            <v>MALIKI</v>
          </cell>
          <cell r="Z171" t="str">
            <v>Local23</v>
          </cell>
          <cell r="AB171" t="str">
            <v>Nyandarua North District</v>
          </cell>
        </row>
        <row r="172">
          <cell r="N172" t="str">
            <v>MALINDI</v>
          </cell>
          <cell r="Z172" t="str">
            <v>Local29</v>
          </cell>
          <cell r="AB172" t="str">
            <v>Nyeri Central District</v>
          </cell>
        </row>
        <row r="173">
          <cell r="N173" t="str">
            <v>MALINYA</v>
          </cell>
          <cell r="Z173" t="str">
            <v>Local31</v>
          </cell>
          <cell r="AB173" t="str">
            <v>Nyeri South District</v>
          </cell>
        </row>
        <row r="174">
          <cell r="N174" t="str">
            <v>MANDERA</v>
          </cell>
          <cell r="Z174" t="str">
            <v>Local30</v>
          </cell>
          <cell r="AB174" t="str">
            <v>Nyeri East District</v>
          </cell>
        </row>
        <row r="175">
          <cell r="N175" t="str">
            <v>MANGA</v>
          </cell>
          <cell r="Z175" t="str">
            <v>Local26</v>
          </cell>
          <cell r="AB175" t="str">
            <v>Kieni West District</v>
          </cell>
        </row>
        <row r="176">
          <cell r="N176" t="str">
            <v>MANYANI</v>
          </cell>
          <cell r="Z176" t="str">
            <v>Local27</v>
          </cell>
          <cell r="AB176" t="str">
            <v>Kieni East District</v>
          </cell>
        </row>
        <row r="177">
          <cell r="N177" t="str">
            <v>MANYATTA</v>
          </cell>
          <cell r="Z177" t="str">
            <v>Local28</v>
          </cell>
          <cell r="AB177" t="str">
            <v>Mukurueini District</v>
          </cell>
        </row>
        <row r="178">
          <cell r="N178" t="str">
            <v>MANYUANDA</v>
          </cell>
          <cell r="Z178" t="str">
            <v>Local176</v>
          </cell>
          <cell r="AB178" t="str">
            <v>Samburu North District</v>
          </cell>
        </row>
        <row r="179">
          <cell r="N179" t="str">
            <v>MANYULIA</v>
          </cell>
          <cell r="Z179" t="str">
            <v>Local175</v>
          </cell>
          <cell r="AB179" t="str">
            <v>Samburu East District</v>
          </cell>
        </row>
        <row r="180">
          <cell r="N180" t="str">
            <v>MARAGI</v>
          </cell>
          <cell r="Z180" t="str">
            <v>Local174</v>
          </cell>
          <cell r="AB180" t="str">
            <v>Samburu Central District</v>
          </cell>
        </row>
        <row r="181">
          <cell r="N181" t="str">
            <v>MARAGOLI</v>
          </cell>
          <cell r="Z181" t="str">
            <v>Local138</v>
          </cell>
          <cell r="AB181" t="str">
            <v>Siaya District</v>
          </cell>
        </row>
        <row r="182">
          <cell r="N182" t="str">
            <v>MARAGUA</v>
          </cell>
          <cell r="Z182" t="str">
            <v>Local137</v>
          </cell>
          <cell r="AB182" t="str">
            <v>Rarieda District</v>
          </cell>
        </row>
        <row r="183">
          <cell r="N183" t="str">
            <v>MARALAL</v>
          </cell>
          <cell r="Z183" t="str">
            <v>Local136</v>
          </cell>
          <cell r="AB183" t="str">
            <v>Bondo District</v>
          </cell>
        </row>
        <row r="184">
          <cell r="N184" t="str">
            <v>MARANI</v>
          </cell>
          <cell r="Z184" t="str">
            <v>Local45</v>
          </cell>
          <cell r="AB184" t="str">
            <v>Voi</v>
          </cell>
        </row>
        <row r="185">
          <cell r="N185" t="str">
            <v>MARIAKANI</v>
          </cell>
          <cell r="Z185" t="str">
            <v>Local44</v>
          </cell>
          <cell r="AB185" t="str">
            <v>Wundanyi</v>
          </cell>
        </row>
        <row r="186">
          <cell r="N186" t="str">
            <v>MARIGAT</v>
          </cell>
          <cell r="Z186" t="str">
            <v>Local42</v>
          </cell>
          <cell r="AB186" t="str">
            <v>Taita District</v>
          </cell>
        </row>
        <row r="187">
          <cell r="N187" t="str">
            <v>MARIMA</v>
          </cell>
          <cell r="Z187" t="str">
            <v>Local43</v>
          </cell>
          <cell r="AB187" t="str">
            <v>Taveta District</v>
          </cell>
        </row>
        <row r="188">
          <cell r="N188" t="str">
            <v>MARIMANTI</v>
          </cell>
          <cell r="Z188" t="str">
            <v>Local47</v>
          </cell>
          <cell r="AB188" t="str">
            <v>Tana River District</v>
          </cell>
        </row>
        <row r="189">
          <cell r="N189" t="str">
            <v>MARINDE</v>
          </cell>
          <cell r="Z189" t="str">
            <v>Local46</v>
          </cell>
          <cell r="AB189" t="str">
            <v>Tana Delta District</v>
          </cell>
        </row>
        <row r="190">
          <cell r="N190" t="str">
            <v>MARIWA</v>
          </cell>
          <cell r="Z190" t="str">
            <v>Local89</v>
          </cell>
          <cell r="AB190" t="str">
            <v>Tharaka South District</v>
          </cell>
        </row>
        <row r="191">
          <cell r="N191" t="str">
            <v>MARMANET</v>
          </cell>
          <cell r="Z191" t="str">
            <v>Local88</v>
          </cell>
          <cell r="AB191" t="str">
            <v>Tharaka North District</v>
          </cell>
        </row>
        <row r="192">
          <cell r="N192" t="str">
            <v>MARSABIT</v>
          </cell>
          <cell r="Z192" t="str">
            <v>Local177</v>
          </cell>
          <cell r="AB192" t="str">
            <v>Trans Nzoia East District</v>
          </cell>
        </row>
        <row r="193">
          <cell r="N193" t="str">
            <v>MARSABIT</v>
          </cell>
          <cell r="Z193" t="str">
            <v>Local178</v>
          </cell>
          <cell r="AB193" t="str">
            <v>Trans Nzoia West District</v>
          </cell>
        </row>
        <row r="194">
          <cell r="N194" t="str">
            <v>MARUA</v>
          </cell>
          <cell r="Z194" t="str">
            <v>Local179</v>
          </cell>
          <cell r="AB194" t="str">
            <v>Kwanza District</v>
          </cell>
        </row>
        <row r="195">
          <cell r="N195" t="str">
            <v>MASANA</v>
          </cell>
          <cell r="Z195" t="str">
            <v>Local183</v>
          </cell>
          <cell r="AB195" t="str">
            <v>Turkana South District</v>
          </cell>
        </row>
        <row r="196">
          <cell r="N196" t="str">
            <v>MASENO</v>
          </cell>
          <cell r="Z196" t="str">
            <v>Local184</v>
          </cell>
          <cell r="AB196" t="str">
            <v>Turkana West District</v>
          </cell>
        </row>
        <row r="197">
          <cell r="N197" t="str">
            <v>MASHINI</v>
          </cell>
          <cell r="Z197" t="str">
            <v>Local185</v>
          </cell>
          <cell r="AB197" t="str">
            <v>Loima District</v>
          </cell>
        </row>
        <row r="198">
          <cell r="N198" t="str">
            <v>MASHURU</v>
          </cell>
          <cell r="Z198" t="str">
            <v>Local180</v>
          </cell>
          <cell r="AB198" t="str">
            <v>Turkana Central District</v>
          </cell>
        </row>
        <row r="199">
          <cell r="N199" t="str">
            <v>MASII</v>
          </cell>
          <cell r="Z199" t="str">
            <v>Local181</v>
          </cell>
          <cell r="AB199" t="str">
            <v>Turkana East District</v>
          </cell>
        </row>
        <row r="200">
          <cell r="N200" t="str">
            <v>MASIMBA</v>
          </cell>
          <cell r="Z200" t="str">
            <v>Local182</v>
          </cell>
          <cell r="AB200" t="str">
            <v>Turkana North District</v>
          </cell>
        </row>
        <row r="201">
          <cell r="N201" t="str">
            <v>MASINGA</v>
          </cell>
          <cell r="Z201" t="str">
            <v>Local187</v>
          </cell>
          <cell r="AB201" t="str">
            <v>Eldoret West District</v>
          </cell>
        </row>
        <row r="202">
          <cell r="N202" t="str">
            <v>MATAARA</v>
          </cell>
          <cell r="Z202" t="str">
            <v>Local186</v>
          </cell>
          <cell r="AB202" t="str">
            <v>Eldoret East District</v>
          </cell>
        </row>
        <row r="203">
          <cell r="N203" t="str">
            <v>ADUNGOSI</v>
          </cell>
          <cell r="Z203" t="str">
            <v>Local188</v>
          </cell>
          <cell r="AB203" t="str">
            <v>Wareng District</v>
          </cell>
        </row>
        <row r="204">
          <cell r="N204" t="str">
            <v>AGENGA</v>
          </cell>
          <cell r="Z204" t="str">
            <v>Local210</v>
          </cell>
          <cell r="AB204" t="str">
            <v>Emuhaya District</v>
          </cell>
        </row>
        <row r="205">
          <cell r="N205" t="str">
            <v>AHERO</v>
          </cell>
          <cell r="Z205" t="str">
            <v>Local211</v>
          </cell>
          <cell r="AB205" t="str">
            <v>Hamisi District</v>
          </cell>
        </row>
        <row r="206">
          <cell r="N206" t="str">
            <v>AINABKOI</v>
          </cell>
          <cell r="Z206" t="str">
            <v>Local212</v>
          </cell>
          <cell r="AB206" t="str">
            <v>Vihiga District</v>
          </cell>
        </row>
        <row r="207">
          <cell r="N207" t="str">
            <v>AKADO</v>
          </cell>
          <cell r="Z207" t="str">
            <v>Local102</v>
          </cell>
          <cell r="AB207" t="str">
            <v>Wajir East District</v>
          </cell>
        </row>
        <row r="208">
          <cell r="N208" t="str">
            <v>AKALA</v>
          </cell>
          <cell r="Z208" t="str">
            <v>Local103</v>
          </cell>
          <cell r="AB208" t="str">
            <v>Wajir North District</v>
          </cell>
        </row>
        <row r="209">
          <cell r="N209" t="str">
            <v>ALUOR</v>
          </cell>
          <cell r="Z209" t="str">
            <v>Local105</v>
          </cell>
          <cell r="AB209" t="str">
            <v>Wajir West District</v>
          </cell>
        </row>
        <row r="210">
          <cell r="N210" t="str">
            <v>ALUPE</v>
          </cell>
          <cell r="Z210" t="str">
            <v>Local104</v>
          </cell>
          <cell r="AB210" t="str">
            <v>Wajir South District</v>
          </cell>
        </row>
        <row r="211">
          <cell r="N211" t="str">
            <v>AMAGORO</v>
          </cell>
          <cell r="Z211" t="str">
            <v>Local189</v>
          </cell>
          <cell r="AB211" t="str">
            <v>North Pokot District</v>
          </cell>
        </row>
        <row r="212">
          <cell r="N212" t="str">
            <v>AMUKURA</v>
          </cell>
          <cell r="Z212" t="str">
            <v>Local190</v>
          </cell>
          <cell r="AB212" t="str">
            <v>Pokot Central District</v>
          </cell>
        </row>
        <row r="213">
          <cell r="N213" t="str">
            <v>ANDINGO</v>
          </cell>
          <cell r="Z213" t="str">
            <v>Local191</v>
          </cell>
          <cell r="AB213" t="str">
            <v>West Pokot District</v>
          </cell>
        </row>
        <row r="214">
          <cell r="N214" t="str">
            <v>ANGURAI</v>
          </cell>
        </row>
        <row r="215">
          <cell r="N215" t="str">
            <v>ANYIKO</v>
          </cell>
        </row>
        <row r="216">
          <cell r="N216" t="str">
            <v>ANYUONGI</v>
          </cell>
        </row>
        <row r="217">
          <cell r="N217" t="str">
            <v>ARAM</v>
          </cell>
        </row>
        <row r="218">
          <cell r="N218" t="str">
            <v>ARROR</v>
          </cell>
        </row>
        <row r="219">
          <cell r="N219" t="str">
            <v>ASEMBO BAY</v>
          </cell>
        </row>
        <row r="220">
          <cell r="N220" t="str">
            <v>ASUMBI</v>
          </cell>
        </row>
        <row r="221">
          <cell r="N221" t="str">
            <v>ATHI RIVER</v>
          </cell>
        </row>
        <row r="222">
          <cell r="N222" t="str">
            <v>AWACH BRIDGE</v>
          </cell>
        </row>
        <row r="223">
          <cell r="N223" t="str">
            <v>AWACH TENDE</v>
          </cell>
        </row>
        <row r="224">
          <cell r="N224" t="str">
            <v>BAHATI</v>
          </cell>
        </row>
        <row r="225">
          <cell r="N225" t="str">
            <v>BAMBA</v>
          </cell>
        </row>
        <row r="226">
          <cell r="N226" t="str">
            <v>BAMBURI</v>
          </cell>
        </row>
        <row r="227">
          <cell r="N227" t="str">
            <v>BANJA</v>
          </cell>
        </row>
        <row r="228">
          <cell r="N228" t="str">
            <v>BAR OBER</v>
          </cell>
        </row>
        <row r="229">
          <cell r="N229" t="str">
            <v>BARAGOI</v>
          </cell>
        </row>
        <row r="230">
          <cell r="N230" t="str">
            <v>BARATON</v>
          </cell>
        </row>
        <row r="231">
          <cell r="N231" t="str">
            <v>BARICHO</v>
          </cell>
        </row>
        <row r="232">
          <cell r="N232" t="str">
            <v>BARTABWA</v>
          </cell>
        </row>
        <row r="233">
          <cell r="N233" t="str">
            <v>BARTOLIMO</v>
          </cell>
        </row>
        <row r="234">
          <cell r="N234" t="str">
            <v>BARWESA</v>
          </cell>
        </row>
        <row r="235">
          <cell r="N235" t="str">
            <v>BIBIRIONI</v>
          </cell>
        </row>
        <row r="236">
          <cell r="N236" t="str">
            <v>BISSIL</v>
          </cell>
        </row>
        <row r="237">
          <cell r="N237" t="str">
            <v>BOITO</v>
          </cell>
        </row>
        <row r="238">
          <cell r="N238" t="str">
            <v>BOKOLI</v>
          </cell>
        </row>
        <row r="239">
          <cell r="N239" t="str">
            <v>BOMET</v>
          </cell>
        </row>
        <row r="240">
          <cell r="N240" t="str">
            <v>BONDENI</v>
          </cell>
        </row>
        <row r="241">
          <cell r="N241" t="str">
            <v>BONDO</v>
          </cell>
        </row>
        <row r="242">
          <cell r="N242" t="str">
            <v>BORO</v>
          </cell>
        </row>
        <row r="243">
          <cell r="N243" t="str">
            <v>BUDALANGI</v>
          </cell>
        </row>
        <row r="244">
          <cell r="N244" t="str">
            <v>BUGAR</v>
          </cell>
        </row>
        <row r="245">
          <cell r="N245" t="str">
            <v>BUHUYI</v>
          </cell>
        </row>
        <row r="246">
          <cell r="N246" t="str">
            <v>BUKEBE</v>
          </cell>
        </row>
        <row r="247">
          <cell r="N247" t="str">
            <v>BUKIRI</v>
          </cell>
        </row>
        <row r="248">
          <cell r="N248" t="str">
            <v>BUKURA</v>
          </cell>
        </row>
        <row r="249">
          <cell r="N249" t="str">
            <v>BULIMBO</v>
          </cell>
        </row>
        <row r="250">
          <cell r="N250" t="str">
            <v>BUMALA</v>
          </cell>
        </row>
        <row r="251">
          <cell r="N251" t="str">
            <v>BUMUTIRU</v>
          </cell>
        </row>
        <row r="252">
          <cell r="N252" t="str">
            <v>BUNGOMA</v>
          </cell>
        </row>
        <row r="253">
          <cell r="N253" t="str">
            <v>BUNYORE</v>
          </cell>
        </row>
        <row r="254">
          <cell r="N254" t="str">
            <v>BURA TANA</v>
          </cell>
        </row>
        <row r="255">
          <cell r="N255" t="str">
            <v>BURNT FOREST</v>
          </cell>
        </row>
        <row r="256">
          <cell r="N256" t="str">
            <v>BURU BURU</v>
          </cell>
        </row>
        <row r="257">
          <cell r="N257" t="str">
            <v>BUSIA</v>
          </cell>
        </row>
        <row r="258">
          <cell r="N258" t="str">
            <v>BUTERE</v>
          </cell>
        </row>
        <row r="259">
          <cell r="N259" t="str">
            <v>BUTULA</v>
          </cell>
        </row>
        <row r="260">
          <cell r="N260" t="str">
            <v>BUYOFU</v>
          </cell>
        </row>
        <row r="261">
          <cell r="N261" t="str">
            <v>CHAMAKHANGA</v>
          </cell>
        </row>
        <row r="262">
          <cell r="N262" t="str">
            <v>CHANGAMWE</v>
          </cell>
        </row>
        <row r="263">
          <cell r="N263" t="str">
            <v>CHAVAKALI</v>
          </cell>
        </row>
        <row r="264">
          <cell r="N264" t="str">
            <v>CHEBARA</v>
          </cell>
        </row>
        <row r="265">
          <cell r="N265" t="str">
            <v>CHEBIEMIT</v>
          </cell>
        </row>
        <row r="266">
          <cell r="N266" t="str">
            <v>CHEBORGE</v>
          </cell>
        </row>
        <row r="267">
          <cell r="N267" t="str">
            <v>CHEBORORWA</v>
          </cell>
        </row>
        <row r="268">
          <cell r="N268" t="str">
            <v>CHEBUNYO</v>
          </cell>
        </row>
        <row r="269">
          <cell r="N269" t="str">
            <v>CHEMAMUL</v>
          </cell>
        </row>
        <row r="270">
          <cell r="N270" t="str">
            <v>CHEMANER</v>
          </cell>
        </row>
        <row r="271">
          <cell r="N271" t="str">
            <v>CHEMASE</v>
          </cell>
        </row>
        <row r="272">
          <cell r="N272" t="str">
            <v>CHEMELIL</v>
          </cell>
        </row>
        <row r="273">
          <cell r="N273" t="str">
            <v>CHEMIRON</v>
          </cell>
        </row>
        <row r="274">
          <cell r="N274" t="str">
            <v>CHEPARERIA</v>
          </cell>
        </row>
        <row r="275">
          <cell r="N275" t="str">
            <v>CHEPCHOINA</v>
          </cell>
        </row>
        <row r="276">
          <cell r="N276" t="str">
            <v>CHEPKEMEL</v>
          </cell>
        </row>
        <row r="277">
          <cell r="N277" t="str">
            <v>CHEPKISWET</v>
          </cell>
        </row>
        <row r="278">
          <cell r="N278" t="str">
            <v>CHEPKORIO</v>
          </cell>
        </row>
        <row r="279">
          <cell r="N279" t="str">
            <v>CHEPKUNYUK</v>
          </cell>
        </row>
        <row r="280">
          <cell r="N280" t="str">
            <v>CHEPSONOI</v>
          </cell>
        </row>
        <row r="281">
          <cell r="N281" t="str">
            <v>CHEPTAIS</v>
          </cell>
        </row>
        <row r="282">
          <cell r="N282" t="str">
            <v>CHEPTALAL</v>
          </cell>
        </row>
        <row r="283">
          <cell r="N283" t="str">
            <v>CHEPTERWAI</v>
          </cell>
        </row>
        <row r="284">
          <cell r="N284" t="str">
            <v>CHEPTONGEI</v>
          </cell>
        </row>
        <row r="285">
          <cell r="N285" t="str">
            <v>CHESAMISI</v>
          </cell>
        </row>
        <row r="286">
          <cell r="N286" t="str">
            <v>CHESINENDET</v>
          </cell>
        </row>
        <row r="287">
          <cell r="N287" t="str">
            <v>CHESOI</v>
          </cell>
        </row>
        <row r="288">
          <cell r="N288" t="str">
            <v>CHIAKARIGA</v>
          </cell>
        </row>
        <row r="289">
          <cell r="N289" t="str">
            <v>CHOGORIA</v>
          </cell>
        </row>
        <row r="290">
          <cell r="N290" t="str">
            <v>CHUKA</v>
          </cell>
        </row>
        <row r="291">
          <cell r="N291" t="str">
            <v>CHULUNI</v>
          </cell>
        </row>
        <row r="292">
          <cell r="N292" t="str">
            <v>CHUMVINI</v>
          </cell>
        </row>
        <row r="293">
          <cell r="N293" t="str">
            <v>CHWELE</v>
          </cell>
        </row>
        <row r="294">
          <cell r="N294" t="str">
            <v>CITY SQUARE</v>
          </cell>
        </row>
        <row r="295">
          <cell r="N295" t="str">
            <v>COAST GENERAL HOSPITAL</v>
          </cell>
        </row>
        <row r="296">
          <cell r="N296" t="str">
            <v>COMMUNITY</v>
          </cell>
        </row>
        <row r="297">
          <cell r="N297" t="str">
            <v>DADAAAB</v>
          </cell>
        </row>
        <row r="298">
          <cell r="N298" t="str">
            <v>DAGO</v>
          </cell>
        </row>
        <row r="299">
          <cell r="N299" t="str">
            <v>DANDORA</v>
          </cell>
        </row>
        <row r="300">
          <cell r="N300" t="str">
            <v>DARAJA MBILI</v>
          </cell>
        </row>
        <row r="301">
          <cell r="N301" t="str">
            <v>DEDE</v>
          </cell>
        </row>
        <row r="302">
          <cell r="N302" t="str">
            <v>DIANI BEACH</v>
          </cell>
        </row>
        <row r="303">
          <cell r="N303" t="str">
            <v>DOCKS</v>
          </cell>
        </row>
        <row r="304">
          <cell r="N304" t="str">
            <v>DOLDOL</v>
          </cell>
        </row>
        <row r="305">
          <cell r="N305" t="str">
            <v>DONYO SABUK</v>
          </cell>
        </row>
        <row r="306">
          <cell r="N306" t="str">
            <v>DOROFU</v>
          </cell>
        </row>
        <row r="307">
          <cell r="N307" t="str">
            <v>DUDI</v>
          </cell>
        </row>
        <row r="308">
          <cell r="N308" t="str">
            <v>DUNDORI</v>
          </cell>
        </row>
        <row r="309">
          <cell r="N309" t="str">
            <v>EASTLEIGH</v>
          </cell>
        </row>
        <row r="310">
          <cell r="N310" t="str">
            <v>EGERTON UNIVERSITY</v>
          </cell>
        </row>
        <row r="311">
          <cell r="N311" t="str">
            <v>EKALAKALA</v>
          </cell>
        </row>
        <row r="312">
          <cell r="N312" t="str">
            <v>EL WAK</v>
          </cell>
        </row>
        <row r="313">
          <cell r="N313" t="str">
            <v>ELBURGON</v>
          </cell>
        </row>
        <row r="314">
          <cell r="N314" t="str">
            <v>ELDAMA RAVINE</v>
          </cell>
        </row>
        <row r="315">
          <cell r="N315" t="str">
            <v>ELDORET</v>
          </cell>
        </row>
        <row r="316">
          <cell r="N316" t="str">
            <v>ELDORET AIRPORT</v>
          </cell>
        </row>
        <row r="317">
          <cell r="N317" t="str">
            <v>ELMENTAITA</v>
          </cell>
        </row>
        <row r="318">
          <cell r="N318" t="str">
            <v>ELUGULU</v>
          </cell>
        </row>
        <row r="319">
          <cell r="N319" t="str">
            <v>EMALI</v>
          </cell>
        </row>
        <row r="320">
          <cell r="N320" t="str">
            <v>EMARINDA</v>
          </cell>
        </row>
        <row r="321">
          <cell r="N321" t="str">
            <v>EMBAKASI</v>
          </cell>
        </row>
        <row r="322">
          <cell r="N322" t="str">
            <v>EMBU</v>
          </cell>
        </row>
        <row r="323">
          <cell r="N323" t="str">
            <v>EMINING NAKURU</v>
          </cell>
        </row>
        <row r="324">
          <cell r="N324" t="str">
            <v>EMUHAY</v>
          </cell>
        </row>
        <row r="325">
          <cell r="N325" t="str">
            <v>ENDARASHA</v>
          </cell>
        </row>
        <row r="326">
          <cell r="N326" t="str">
            <v>ENDAU</v>
          </cell>
        </row>
        <row r="327">
          <cell r="N327" t="str">
            <v>ENDEBESS</v>
          </cell>
        </row>
        <row r="328">
          <cell r="N328" t="str">
            <v>ENOSAEN</v>
          </cell>
        </row>
        <row r="329">
          <cell r="N329" t="str">
            <v>ENTERPRISE ROAD</v>
          </cell>
        </row>
        <row r="330">
          <cell r="N330" t="str">
            <v>EQUATOR</v>
          </cell>
        </row>
        <row r="331">
          <cell r="N331" t="str">
            <v>EREGI</v>
          </cell>
        </row>
        <row r="332">
          <cell r="N332" t="str">
            <v>ESSO PLAZA</v>
          </cell>
        </row>
        <row r="333">
          <cell r="N333" t="str">
            <v>ETAGO</v>
          </cell>
        </row>
        <row r="334">
          <cell r="N334" t="str">
            <v>FAZA</v>
          </cell>
        </row>
        <row r="335">
          <cell r="N335" t="str">
            <v>FORT TERNAN</v>
          </cell>
        </row>
        <row r="336">
          <cell r="N336" t="str">
            <v>FUNYULA</v>
          </cell>
        </row>
        <row r="337">
          <cell r="N337" t="str">
            <v>GACHARAGE-INI</v>
          </cell>
        </row>
        <row r="338">
          <cell r="N338" t="str">
            <v>GACHIKA</v>
          </cell>
        </row>
        <row r="339">
          <cell r="N339" t="str">
            <v>GACHOKA</v>
          </cell>
        </row>
        <row r="340">
          <cell r="N340" t="str">
            <v>GAITU</v>
          </cell>
        </row>
        <row r="341">
          <cell r="N341" t="str">
            <v>GAKERE ROAD</v>
          </cell>
        </row>
        <row r="342">
          <cell r="N342" t="str">
            <v>GAKINDU</v>
          </cell>
        </row>
        <row r="343">
          <cell r="N343" t="str">
            <v>GAKOE</v>
          </cell>
        </row>
        <row r="344">
          <cell r="N344" t="str">
            <v>GAKURWE</v>
          </cell>
        </row>
        <row r="345">
          <cell r="N345" t="str">
            <v>GAMBOGI</v>
          </cell>
        </row>
        <row r="346">
          <cell r="N346" t="str">
            <v>GANZE</v>
          </cell>
        </row>
        <row r="347">
          <cell r="N347" t="str">
            <v>GARBA TULLA</v>
          </cell>
        </row>
        <row r="348">
          <cell r="N348" t="str">
            <v>GARISSA</v>
          </cell>
        </row>
        <row r="349">
          <cell r="N349" t="str">
            <v>GARSEN</v>
          </cell>
        </row>
        <row r="350">
          <cell r="N350" t="str">
            <v>GATARA</v>
          </cell>
        </row>
        <row r="351">
          <cell r="N351" t="str">
            <v>GATARAKWA</v>
          </cell>
        </row>
        <row r="352">
          <cell r="N352" t="str">
            <v>GATHIRUINI</v>
          </cell>
        </row>
        <row r="353">
          <cell r="N353" t="str">
            <v>GATHUGU</v>
          </cell>
        </row>
        <row r="354">
          <cell r="N354" t="str">
            <v>GATHUTHI</v>
          </cell>
        </row>
        <row r="355">
          <cell r="N355" t="str">
            <v>GATITU</v>
          </cell>
        </row>
        <row r="356">
          <cell r="N356" t="str">
            <v>GATONDO</v>
          </cell>
        </row>
        <row r="357">
          <cell r="N357" t="str">
            <v>GATUGURA</v>
          </cell>
        </row>
        <row r="358">
          <cell r="N358" t="str">
            <v>GATUKUYU</v>
          </cell>
        </row>
        <row r="359">
          <cell r="N359" t="str">
            <v>GATUNDU</v>
          </cell>
        </row>
        <row r="360">
          <cell r="N360" t="str">
            <v>GATUNGA</v>
          </cell>
        </row>
        <row r="361">
          <cell r="N361" t="str">
            <v>GATURA</v>
          </cell>
        </row>
        <row r="362">
          <cell r="N362" t="str">
            <v>GEDE</v>
          </cell>
        </row>
        <row r="363">
          <cell r="N363" t="str">
            <v>GEMBE</v>
          </cell>
        </row>
        <row r="364">
          <cell r="N364" t="str">
            <v>GESIMA</v>
          </cell>
        </row>
        <row r="365">
          <cell r="N365" t="str">
            <v>GESUSU</v>
          </cell>
        </row>
        <row r="366">
          <cell r="N366" t="str">
            <v>GIAKAIBEI</v>
          </cell>
        </row>
        <row r="367">
          <cell r="N367" t="str">
            <v>GIAKANJA</v>
          </cell>
        </row>
        <row r="368">
          <cell r="N368" t="str">
            <v>GICHICHI</v>
          </cell>
        </row>
        <row r="369">
          <cell r="N369" t="str">
            <v>GIGIRI</v>
          </cell>
        </row>
        <row r="370">
          <cell r="N370" t="str">
            <v>GIKOE</v>
          </cell>
        </row>
        <row r="371">
          <cell r="N371" t="str">
            <v>GILGIL</v>
          </cell>
        </row>
        <row r="372">
          <cell r="N372" t="str">
            <v>GIRIBE</v>
          </cell>
        </row>
        <row r="373">
          <cell r="N373" t="str">
            <v>GISAMBAI</v>
          </cell>
        </row>
        <row r="374">
          <cell r="N374" t="str">
            <v>GITHIGA</v>
          </cell>
        </row>
        <row r="375">
          <cell r="N375" t="str">
            <v>GITHONGO</v>
          </cell>
        </row>
        <row r="376">
          <cell r="N376" t="str">
            <v>GITHUMU</v>
          </cell>
        </row>
        <row r="377">
          <cell r="N377" t="str">
            <v>GITHUNGURI</v>
          </cell>
        </row>
        <row r="378">
          <cell r="N378" t="str">
            <v>GITIMENE</v>
          </cell>
        </row>
        <row r="379">
          <cell r="N379" t="str">
            <v>GITUAMBA</v>
          </cell>
        </row>
        <row r="380">
          <cell r="N380" t="str">
            <v>GITUGI</v>
          </cell>
        </row>
        <row r="381">
          <cell r="N381" t="str">
            <v>GONGONI</v>
          </cell>
        </row>
        <row r="382">
          <cell r="N382" t="str">
            <v>GORGOR</v>
          </cell>
        </row>
        <row r="383">
          <cell r="N383" t="str">
            <v>GOT OYARO</v>
          </cell>
        </row>
        <row r="384">
          <cell r="N384" t="str">
            <v>GRIFTU</v>
          </cell>
        </row>
        <row r="385">
          <cell r="N385" t="str">
            <v>HABASWEIN</v>
          </cell>
        </row>
        <row r="386">
          <cell r="N386" t="str">
            <v>HAKATI</v>
          </cell>
        </row>
        <row r="387">
          <cell r="N387" t="str">
            <v>HAMISI</v>
          </cell>
        </row>
        <row r="388">
          <cell r="N388" t="str">
            <v>HAWINGA</v>
          </cell>
        </row>
        <row r="389">
          <cell r="N389" t="str">
            <v>HIGHRIDGE</v>
          </cell>
        </row>
        <row r="390">
          <cell r="N390" t="str">
            <v>HOLA</v>
          </cell>
        </row>
        <row r="391">
          <cell r="N391" t="str">
            <v>HOMABAY</v>
          </cell>
        </row>
        <row r="392">
          <cell r="N392" t="str">
            <v>HURUMA</v>
          </cell>
        </row>
        <row r="393">
          <cell r="N393" t="str">
            <v>ICHICHI</v>
          </cell>
        </row>
        <row r="394">
          <cell r="N394" t="str">
            <v>IGARE</v>
          </cell>
        </row>
        <row r="395">
          <cell r="N395" t="str">
            <v>IGEGANIA</v>
          </cell>
        </row>
        <row r="396">
          <cell r="N396" t="str">
            <v>IGOJI</v>
          </cell>
        </row>
        <row r="397">
          <cell r="N397" t="str">
            <v>IGWAMITI</v>
          </cell>
        </row>
        <row r="398">
          <cell r="N398" t="str">
            <v>IHURURU MARKET</v>
          </cell>
        </row>
        <row r="399">
          <cell r="N399" t="str">
            <v>IKALAASA</v>
          </cell>
        </row>
        <row r="400">
          <cell r="N400" t="str">
            <v>IKEREGE</v>
          </cell>
        </row>
        <row r="401">
          <cell r="N401" t="str">
            <v>IKINU</v>
          </cell>
        </row>
        <row r="402">
          <cell r="N402" t="str">
            <v>IKONGE</v>
          </cell>
        </row>
        <row r="403">
          <cell r="N403" t="str">
            <v>IKUTHA</v>
          </cell>
        </row>
        <row r="404">
          <cell r="N404" t="str">
            <v>IKUU</v>
          </cell>
        </row>
        <row r="405">
          <cell r="N405" t="str">
            <v>ILASIT</v>
          </cell>
        </row>
        <row r="406">
          <cell r="N406" t="str">
            <v>ILEHO</v>
          </cell>
        </row>
        <row r="407">
          <cell r="N407" t="str">
            <v>IMANGA</v>
          </cell>
        </row>
        <row r="408">
          <cell r="N408" t="str">
            <v>INDECHERO</v>
          </cell>
        </row>
        <row r="409">
          <cell r="N409" t="str">
            <v>IRIWA</v>
          </cell>
        </row>
        <row r="410">
          <cell r="N410" t="str">
            <v>ISHIARA</v>
          </cell>
        </row>
        <row r="411">
          <cell r="N411" t="str">
            <v>ISIBANIA</v>
          </cell>
        </row>
        <row r="412">
          <cell r="N412" t="str">
            <v>ISINYA</v>
          </cell>
        </row>
        <row r="413">
          <cell r="N413" t="str">
            <v>ISIOLO</v>
          </cell>
        </row>
        <row r="414">
          <cell r="N414" t="str">
            <v>ISULU</v>
          </cell>
        </row>
        <row r="415">
          <cell r="N415" t="str">
            <v>ITEN</v>
          </cell>
        </row>
        <row r="416">
          <cell r="N416" t="str">
            <v>ITHANGA</v>
          </cell>
        </row>
        <row r="417">
          <cell r="N417" t="str">
            <v>ITIBO</v>
          </cell>
        </row>
        <row r="418">
          <cell r="N418" t="str">
            <v>ITUMBE</v>
          </cell>
        </row>
        <row r="419">
          <cell r="N419" t="str">
            <v>JEBROK</v>
          </cell>
        </row>
        <row r="420">
          <cell r="N420" t="str">
            <v>JUJA ROAD</v>
          </cell>
        </row>
        <row r="421">
          <cell r="N421" t="str">
            <v>K.I.C.C</v>
          </cell>
        </row>
        <row r="422">
          <cell r="N422" t="str">
            <v>KABARNET</v>
          </cell>
        </row>
        <row r="423">
          <cell r="N423" t="str">
            <v>KABARTONJO</v>
          </cell>
        </row>
        <row r="424">
          <cell r="N424" t="str">
            <v>KABATI</v>
          </cell>
        </row>
        <row r="425">
          <cell r="N425" t="str">
            <v>KABATINI</v>
          </cell>
        </row>
        <row r="426">
          <cell r="N426" t="str">
            <v>KABAZI</v>
          </cell>
        </row>
        <row r="427">
          <cell r="N427" t="str">
            <v>KABETE</v>
          </cell>
        </row>
        <row r="428">
          <cell r="N428" t="str">
            <v>KABIANGA</v>
          </cell>
        </row>
        <row r="429">
          <cell r="N429" t="str">
            <v>KABIEMIT</v>
          </cell>
        </row>
        <row r="430">
          <cell r="N430" t="str">
            <v>KABIMOI</v>
          </cell>
        </row>
        <row r="431">
          <cell r="N431" t="str">
            <v>KABIYET</v>
          </cell>
        </row>
        <row r="432">
          <cell r="N432" t="str">
            <v>KABOSON</v>
          </cell>
        </row>
        <row r="433">
          <cell r="N433" t="str">
            <v>KABULA</v>
          </cell>
        </row>
        <row r="434">
          <cell r="N434" t="str">
            <v>KACHELIBA</v>
          </cell>
        </row>
        <row r="435">
          <cell r="N435" t="str">
            <v>KADEL</v>
          </cell>
        </row>
        <row r="436">
          <cell r="N436" t="str">
            <v>KADONGO</v>
          </cell>
        </row>
        <row r="437">
          <cell r="N437" t="str">
            <v>KAGICHA</v>
          </cell>
        </row>
        <row r="438">
          <cell r="N438" t="str">
            <v>KAGIO</v>
          </cell>
        </row>
        <row r="439">
          <cell r="N439" t="str">
            <v>KAGUMO</v>
          </cell>
        </row>
        <row r="440">
          <cell r="N440" t="str">
            <v>KAGUNDUINI</v>
          </cell>
        </row>
        <row r="441">
          <cell r="N441" t="str">
            <v>KAGWE</v>
          </cell>
        </row>
        <row r="442">
          <cell r="N442" t="str">
            <v>KAHEHO</v>
          </cell>
        </row>
        <row r="443">
          <cell r="N443" t="str">
            <v>KAHUHIA</v>
          </cell>
        </row>
        <row r="444">
          <cell r="N444" t="str">
            <v>KAHURO</v>
          </cell>
        </row>
        <row r="445">
          <cell r="N445" t="str">
            <v>KAHUTI</v>
          </cell>
        </row>
        <row r="446">
          <cell r="N446" t="str">
            <v>KAIBOI</v>
          </cell>
        </row>
        <row r="447">
          <cell r="N447" t="str">
            <v>KAIMOSI</v>
          </cell>
        </row>
        <row r="448">
          <cell r="N448" t="str">
            <v>KAINUK</v>
          </cell>
        </row>
        <row r="449">
          <cell r="N449" t="str">
            <v>KAIRI</v>
          </cell>
        </row>
        <row r="450">
          <cell r="N450" t="str">
            <v>KAIRO</v>
          </cell>
        </row>
        <row r="451">
          <cell r="N451" t="str">
            <v>KAJIADO</v>
          </cell>
        </row>
        <row r="452">
          <cell r="N452" t="str">
            <v>KAKAMEGA</v>
          </cell>
        </row>
        <row r="453">
          <cell r="N453" t="str">
            <v>KAKEMER</v>
          </cell>
        </row>
        <row r="454">
          <cell r="N454" t="str">
            <v>KAKIBORA</v>
          </cell>
        </row>
        <row r="455">
          <cell r="N455" t="str">
            <v>KAKONENI</v>
          </cell>
        </row>
        <row r="456">
          <cell r="N456" t="str">
            <v>KAKUMA</v>
          </cell>
        </row>
        <row r="457">
          <cell r="N457" t="str">
            <v>KAKUNGA</v>
          </cell>
        </row>
        <row r="458">
          <cell r="N458" t="str">
            <v>KAKUZI</v>
          </cell>
        </row>
        <row r="459">
          <cell r="N459" t="str">
            <v>KALAMBA</v>
          </cell>
        </row>
        <row r="460">
          <cell r="N460" t="str">
            <v>KALAWA</v>
          </cell>
        </row>
        <row r="461">
          <cell r="N461" t="str">
            <v>KALIMONI</v>
          </cell>
        </row>
        <row r="462">
          <cell r="N462" t="str">
            <v>KALOKOL</v>
          </cell>
        </row>
        <row r="463">
          <cell r="N463" t="str">
            <v>KALOLENI</v>
          </cell>
        </row>
        <row r="464">
          <cell r="N464" t="str">
            <v>KAMAGET</v>
          </cell>
        </row>
        <row r="465">
          <cell r="N465" t="str">
            <v>KAMAHUHA</v>
          </cell>
        </row>
        <row r="466">
          <cell r="N466" t="str">
            <v>KAMARA</v>
          </cell>
        </row>
        <row r="467">
          <cell r="N467" t="str">
            <v>KAMBERUA</v>
          </cell>
        </row>
        <row r="468">
          <cell r="N468" t="str">
            <v>KAMBIRI</v>
          </cell>
        </row>
        <row r="469">
          <cell r="N469" t="str">
            <v>KAMBITI</v>
          </cell>
        </row>
        <row r="470">
          <cell r="N470" t="str">
            <v>KAMITI</v>
          </cell>
        </row>
        <row r="471">
          <cell r="N471" t="str">
            <v>KAMPI YA MOTO</v>
          </cell>
        </row>
        <row r="472">
          <cell r="N472" t="str">
            <v>KAMPI YA SAMAKI</v>
          </cell>
        </row>
        <row r="473">
          <cell r="N473" t="str">
            <v>KAMUKUYWA</v>
          </cell>
        </row>
        <row r="474">
          <cell r="N474" t="str">
            <v>KAMURIAI</v>
          </cell>
        </row>
        <row r="475">
          <cell r="N475" t="str">
            <v>KAMUWONGO</v>
          </cell>
        </row>
        <row r="476">
          <cell r="N476" t="str">
            <v>KAMWASOR</v>
          </cell>
        </row>
        <row r="477">
          <cell r="N477" t="str">
            <v>KAMWAURA NAKURU</v>
          </cell>
        </row>
        <row r="478">
          <cell r="N478" t="str">
            <v>KANAM</v>
          </cell>
        </row>
        <row r="479">
          <cell r="N479" t="str">
            <v>KANDARA</v>
          </cell>
        </row>
        <row r="480">
          <cell r="N480" t="str">
            <v>KANDIEGE</v>
          </cell>
        </row>
        <row r="481">
          <cell r="N481" t="str">
            <v>KANDUYI</v>
          </cell>
        </row>
        <row r="482">
          <cell r="N482" t="str">
            <v>KANGARI</v>
          </cell>
        </row>
        <row r="483">
          <cell r="N483" t="str">
            <v>KANGEMA</v>
          </cell>
        </row>
        <row r="484">
          <cell r="N484" t="str">
            <v>KANGEMI</v>
          </cell>
        </row>
        <row r="485">
          <cell r="N485" t="str">
            <v>KANGETA</v>
          </cell>
        </row>
        <row r="486">
          <cell r="N486" t="str">
            <v>KANGOO</v>
          </cell>
        </row>
        <row r="487">
          <cell r="N487" t="str">
            <v>KANGUNDO</v>
          </cell>
        </row>
        <row r="488">
          <cell r="N488" t="str">
            <v>KANJA</v>
          </cell>
        </row>
        <row r="489">
          <cell r="N489" t="str">
            <v>KANJUKU</v>
          </cell>
        </row>
        <row r="490">
          <cell r="N490" t="str">
            <v>KANYAAGIA</v>
          </cell>
        </row>
        <row r="491">
          <cell r="N491" t="str">
            <v>KANYAKINE</v>
          </cell>
        </row>
        <row r="492">
          <cell r="N492" t="str">
            <v>KANYONI</v>
          </cell>
        </row>
        <row r="493">
          <cell r="N493" t="str">
            <v>KANYUAMBORA</v>
          </cell>
        </row>
        <row r="494">
          <cell r="N494" t="str">
            <v>KANZIKO</v>
          </cell>
        </row>
        <row r="495">
          <cell r="N495" t="str">
            <v>KAPCHENO</v>
          </cell>
        </row>
        <row r="496">
          <cell r="N496" t="str">
            <v>KAPCHERANY</v>
          </cell>
        </row>
        <row r="497">
          <cell r="N497" t="str">
            <v>KAPCHEROP</v>
          </cell>
        </row>
        <row r="498">
          <cell r="N498" t="str">
            <v>KAPCHORWA</v>
          </cell>
        </row>
        <row r="499">
          <cell r="N499" t="str">
            <v>KAPEDO</v>
          </cell>
        </row>
        <row r="500">
          <cell r="N500" t="str">
            <v>KAPENGURIA</v>
          </cell>
        </row>
        <row r="501">
          <cell r="N501" t="str">
            <v>KAPKATENY</v>
          </cell>
        </row>
        <row r="502">
          <cell r="N502" t="str">
            <v>KAPKATET</v>
          </cell>
        </row>
        <row r="503">
          <cell r="N503" t="str">
            <v>KAPKELEK</v>
          </cell>
        </row>
        <row r="504">
          <cell r="N504" t="str">
            <v>KAPKENDA</v>
          </cell>
        </row>
        <row r="505">
          <cell r="N505" t="str">
            <v>KAPKESOSIO</v>
          </cell>
        </row>
        <row r="506">
          <cell r="N506" t="str">
            <v>KAPKOROS</v>
          </cell>
        </row>
        <row r="507">
          <cell r="N507" t="str">
            <v>KAPKUGERWET</v>
          </cell>
        </row>
        <row r="508">
          <cell r="N508" t="str">
            <v>KAPNGETUNY</v>
          </cell>
        </row>
        <row r="509">
          <cell r="N509" t="str">
            <v>KAPSABET</v>
          </cell>
        </row>
        <row r="510">
          <cell r="N510" t="str">
            <v>KAPSARA</v>
          </cell>
        </row>
        <row r="511">
          <cell r="N511" t="str">
            <v>KAPSOIT</v>
          </cell>
        </row>
        <row r="512">
          <cell r="N512" t="str">
            <v>KAPSOKWONY</v>
          </cell>
        </row>
        <row r="513">
          <cell r="N513" t="str">
            <v>KAPSOWAR</v>
          </cell>
        </row>
        <row r="514">
          <cell r="N514" t="str">
            <v>KAPSUMBEIWA</v>
          </cell>
        </row>
        <row r="515">
          <cell r="N515" t="str">
            <v>KAPSUSER</v>
          </cell>
        </row>
        <row r="516">
          <cell r="N516" t="str">
            <v>KAPTAGAT</v>
          </cell>
        </row>
        <row r="517">
          <cell r="N517" t="str">
            <v>KAPTALAMWA</v>
          </cell>
        </row>
        <row r="518">
          <cell r="N518" t="str">
            <v>KAPTAMA</v>
          </cell>
        </row>
        <row r="519">
          <cell r="N519" t="str">
            <v>KAPTARAKWA</v>
          </cell>
        </row>
        <row r="520">
          <cell r="N520" t="str">
            <v>KAPTEBENGWET</v>
          </cell>
        </row>
        <row r="521">
          <cell r="N521" t="str">
            <v>KAPTEL</v>
          </cell>
        </row>
        <row r="522">
          <cell r="N522" t="str">
            <v>KAPTEREN</v>
          </cell>
        </row>
        <row r="523">
          <cell r="N523" t="str">
            <v>KARABA</v>
          </cell>
        </row>
        <row r="524">
          <cell r="N524" t="str">
            <v>KARATINA</v>
          </cell>
        </row>
        <row r="525">
          <cell r="N525" t="str">
            <v>KARATU</v>
          </cell>
        </row>
        <row r="526">
          <cell r="N526" t="str">
            <v>KAREMENO</v>
          </cell>
        </row>
        <row r="527">
          <cell r="N527" t="str">
            <v>KAREN</v>
          </cell>
        </row>
        <row r="528">
          <cell r="N528" t="str">
            <v>KARIMA</v>
          </cell>
        </row>
        <row r="529">
          <cell r="N529" t="str">
            <v>KARINGARI</v>
          </cell>
        </row>
        <row r="530">
          <cell r="N530" t="str">
            <v>KARIOBANGI</v>
          </cell>
        </row>
        <row r="531">
          <cell r="N531" t="str">
            <v>KAROTA</v>
          </cell>
        </row>
        <row r="532">
          <cell r="N532" t="str">
            <v>KARUMANDI</v>
          </cell>
        </row>
        <row r="533">
          <cell r="N533" t="str">
            <v>KARUNGU</v>
          </cell>
        </row>
        <row r="534">
          <cell r="N534" t="str">
            <v>KARURI</v>
          </cell>
        </row>
        <row r="535">
          <cell r="N535" t="str">
            <v>KARURUMO</v>
          </cell>
        </row>
        <row r="536">
          <cell r="N536" t="str">
            <v>KASARANI</v>
          </cell>
        </row>
        <row r="537">
          <cell r="N537" t="str">
            <v>KASIGAU</v>
          </cell>
        </row>
        <row r="538">
          <cell r="N538" t="str">
            <v>KASIKEU</v>
          </cell>
        </row>
        <row r="539">
          <cell r="N539" t="str">
            <v>KATANGI</v>
          </cell>
        </row>
        <row r="540">
          <cell r="N540" t="str">
            <v>KATHIANI</v>
          </cell>
        </row>
        <row r="541">
          <cell r="N541" t="str">
            <v>KATHONZWENI</v>
          </cell>
        </row>
        <row r="542">
          <cell r="N542" t="str">
            <v>KATHWANA</v>
          </cell>
        </row>
        <row r="543">
          <cell r="N543" t="str">
            <v>KATILU</v>
          </cell>
        </row>
        <row r="544">
          <cell r="N544" t="str">
            <v>KATITO</v>
          </cell>
        </row>
        <row r="545">
          <cell r="N545" t="str">
            <v>KATSE</v>
          </cell>
        </row>
        <row r="546">
          <cell r="N546" t="str">
            <v>KATUTU</v>
          </cell>
        </row>
        <row r="547">
          <cell r="N547" t="str">
            <v>KAVIANI</v>
          </cell>
        </row>
        <row r="548">
          <cell r="N548" t="str">
            <v>KAVUTI</v>
          </cell>
        </row>
        <row r="549">
          <cell r="N549" t="str">
            <v>KAWERU</v>
          </cell>
        </row>
        <row r="550">
          <cell r="N550" t="str">
            <v>KAYOLE</v>
          </cell>
        </row>
        <row r="551">
          <cell r="N551" t="str">
            <v>KEBIRIGO</v>
          </cell>
        </row>
        <row r="552">
          <cell r="N552" t="str">
            <v>KEDOWA</v>
          </cell>
        </row>
        <row r="553">
          <cell r="N553" t="str">
            <v>KEEKOROK</v>
          </cell>
        </row>
        <row r="554">
          <cell r="N554" t="str">
            <v>KEGOGI</v>
          </cell>
        </row>
        <row r="555">
          <cell r="N555" t="str">
            <v>KEGONGA</v>
          </cell>
        </row>
        <row r="556">
          <cell r="N556" t="str">
            <v>KEHANCHA</v>
          </cell>
        </row>
        <row r="557">
          <cell r="N557" t="str">
            <v>KENDU BAY</v>
          </cell>
        </row>
        <row r="558">
          <cell r="N558" t="str">
            <v>KENYATTA N HOSPITAL</v>
          </cell>
        </row>
        <row r="559">
          <cell r="N559" t="str">
            <v>KENYATTA UNIV</v>
          </cell>
        </row>
        <row r="560">
          <cell r="N560" t="str">
            <v>KENYENYA</v>
          </cell>
        </row>
        <row r="561">
          <cell r="N561" t="str">
            <v>KENYENYAINI</v>
          </cell>
        </row>
        <row r="562">
          <cell r="N562" t="str">
            <v>KERICHO</v>
          </cell>
        </row>
        <row r="563">
          <cell r="N563" t="str">
            <v>KEROKA</v>
          </cell>
        </row>
        <row r="564">
          <cell r="N564" t="str">
            <v>KERUGOYA</v>
          </cell>
        </row>
        <row r="565">
          <cell r="N565" t="str">
            <v>KESOGON</v>
          </cell>
        </row>
        <row r="566">
          <cell r="N566" t="str">
            <v>KEUMBU</v>
          </cell>
        </row>
        <row r="567">
          <cell r="N567" t="str">
            <v>KEVOTE</v>
          </cell>
        </row>
        <row r="568">
          <cell r="N568" t="str">
            <v>KHAYEGA</v>
          </cell>
        </row>
        <row r="569">
          <cell r="N569" t="str">
            <v>KHUMUSALABA</v>
          </cell>
        </row>
        <row r="570">
          <cell r="N570" t="str">
            <v>KHWISERO</v>
          </cell>
        </row>
        <row r="571">
          <cell r="N571" t="str">
            <v>KIAMARIGA</v>
          </cell>
        </row>
        <row r="572">
          <cell r="N572" t="str">
            <v>KIAMBERE</v>
          </cell>
        </row>
        <row r="573">
          <cell r="N573" t="str">
            <v>KIAMBU</v>
          </cell>
        </row>
        <row r="574">
          <cell r="N574" t="str">
            <v>KIAMBURURU</v>
          </cell>
        </row>
        <row r="575">
          <cell r="N575" t="str">
            <v>KIAMOKAMA</v>
          </cell>
        </row>
        <row r="576">
          <cell r="N576" t="str">
            <v>KIAMURINGA</v>
          </cell>
        </row>
        <row r="577">
          <cell r="N577" t="str">
            <v>KIAMUTUGA</v>
          </cell>
        </row>
        <row r="578">
          <cell r="N578" t="str">
            <v>KIAMWANGI</v>
          </cell>
        </row>
        <row r="579">
          <cell r="N579" t="str">
            <v>KIANDU</v>
          </cell>
        </row>
        <row r="580">
          <cell r="N580" t="str">
            <v>KIANJAI</v>
          </cell>
        </row>
        <row r="581">
          <cell r="N581" t="str">
            <v>KIANJOKOMA</v>
          </cell>
        </row>
        <row r="582">
          <cell r="N582" t="str">
            <v>KIANYAGA</v>
          </cell>
        </row>
        <row r="583">
          <cell r="N583" t="str">
            <v>KIAWARIGI</v>
          </cell>
        </row>
        <row r="584">
          <cell r="N584" t="str">
            <v>KIBICHO</v>
          </cell>
        </row>
        <row r="585">
          <cell r="N585" t="str">
            <v>KIBIGORI</v>
          </cell>
        </row>
        <row r="586">
          <cell r="N586" t="str">
            <v>KIBIRICHIA</v>
          </cell>
        </row>
        <row r="587">
          <cell r="N587" t="str">
            <v>KIBIRIGWI</v>
          </cell>
        </row>
        <row r="588">
          <cell r="N588" t="str">
            <v>KIBOS</v>
          </cell>
        </row>
        <row r="589">
          <cell r="N589" t="str">
            <v>KIBUGU</v>
          </cell>
        </row>
        <row r="590">
          <cell r="N590" t="str">
            <v>KIBWEZI</v>
          </cell>
        </row>
        <row r="591">
          <cell r="N591" t="str">
            <v>KIGANJO</v>
          </cell>
        </row>
        <row r="592">
          <cell r="N592" t="str">
            <v>KIGUMO</v>
          </cell>
        </row>
        <row r="593">
          <cell r="N593" t="str">
            <v>KIHOYA</v>
          </cell>
        </row>
        <row r="594">
          <cell r="N594" t="str">
            <v>KIHUGA SQUARE</v>
          </cell>
        </row>
        <row r="595">
          <cell r="N595" t="str">
            <v>KIIRUA</v>
          </cell>
        </row>
        <row r="596">
          <cell r="N596" t="str">
            <v>KIJABE</v>
          </cell>
        </row>
        <row r="597">
          <cell r="N597" t="str">
            <v>KIKIMA</v>
          </cell>
        </row>
        <row r="598">
          <cell r="N598" t="str">
            <v>KIKUYU</v>
          </cell>
        </row>
        <row r="599">
          <cell r="N599" t="str">
            <v>NYAMARAMBE</v>
          </cell>
        </row>
        <row r="600">
          <cell r="N600" t="str">
            <v>SIMAT</v>
          </cell>
        </row>
        <row r="601">
          <cell r="N601" t="str">
            <v>SINDO</v>
          </cell>
        </row>
        <row r="602">
          <cell r="N602" t="str">
            <v>SINGORE</v>
          </cell>
        </row>
        <row r="603">
          <cell r="N603" t="str">
            <v>SIO PORT</v>
          </cell>
        </row>
        <row r="604">
          <cell r="N604" t="str">
            <v>SIONGIROI</v>
          </cell>
        </row>
        <row r="605">
          <cell r="N605" t="str">
            <v>SIPILI</v>
          </cell>
        </row>
        <row r="606">
          <cell r="N606" t="str">
            <v>SIREMBE</v>
          </cell>
        </row>
        <row r="607">
          <cell r="N607" t="str">
            <v>SIRENDE</v>
          </cell>
        </row>
        <row r="608">
          <cell r="N608" t="str">
            <v>SIRISIA</v>
          </cell>
        </row>
        <row r="609">
          <cell r="N609" t="str">
            <v>SIRONGO</v>
          </cell>
        </row>
        <row r="610">
          <cell r="N610" t="str">
            <v>SOLAI</v>
          </cell>
        </row>
        <row r="611">
          <cell r="N611" t="str">
            <v>SOLO MOYALE</v>
          </cell>
        </row>
        <row r="612">
          <cell r="N612" t="str">
            <v>SONDU</v>
          </cell>
        </row>
        <row r="613">
          <cell r="N613" t="str">
            <v>SONGHOR</v>
          </cell>
        </row>
        <row r="614">
          <cell r="N614" t="str">
            <v>SORGET</v>
          </cell>
        </row>
        <row r="615">
          <cell r="N615" t="str">
            <v>SOSIOT</v>
          </cell>
        </row>
        <row r="616">
          <cell r="N616" t="str">
            <v>SOTIK</v>
          </cell>
        </row>
        <row r="617">
          <cell r="N617" t="str">
            <v>SOUTH HORR</v>
          </cell>
        </row>
        <row r="618">
          <cell r="N618" t="str">
            <v>SOUTH KINANGOP</v>
          </cell>
        </row>
        <row r="619">
          <cell r="N619" t="str">
            <v>SOUTH KINANGOP</v>
          </cell>
        </row>
        <row r="620">
          <cell r="N620" t="str">
            <v>SOY</v>
          </cell>
        </row>
        <row r="621">
          <cell r="N621" t="str">
            <v>SUBA KURIA</v>
          </cell>
        </row>
        <row r="622">
          <cell r="N622" t="str">
            <v>SUBUKIA</v>
          </cell>
        </row>
        <row r="623">
          <cell r="N623" t="str">
            <v>SUGUTA MAR MAR</v>
          </cell>
        </row>
        <row r="624">
          <cell r="N624" t="str">
            <v>SULMAC</v>
          </cell>
        </row>
        <row r="625">
          <cell r="N625" t="str">
            <v>SULTAN HAMUD</v>
          </cell>
        </row>
        <row r="626">
          <cell r="N626" t="str">
            <v>SUNA</v>
          </cell>
        </row>
        <row r="627">
          <cell r="N627" t="str">
            <v>SUWERWA</v>
          </cell>
        </row>
        <row r="628">
          <cell r="N628" t="str">
            <v>SYEIKULU</v>
          </cell>
        </row>
        <row r="629">
          <cell r="N629" t="str">
            <v>TABANI</v>
          </cell>
        </row>
        <row r="630">
          <cell r="N630" t="str">
            <v>TALA</v>
          </cell>
        </row>
        <row r="631">
          <cell r="N631" t="str">
            <v>TAMBACH</v>
          </cell>
        </row>
        <row r="632">
          <cell r="N632" t="str">
            <v>TARASAA</v>
          </cell>
        </row>
        <row r="633">
          <cell r="N633" t="str">
            <v>TAUSA</v>
          </cell>
        </row>
        <row r="634">
          <cell r="N634" t="str">
            <v>TAVETA</v>
          </cell>
        </row>
        <row r="635">
          <cell r="N635" t="str">
            <v>TAWA</v>
          </cell>
        </row>
        <row r="636">
          <cell r="N636" t="str">
            <v>TENGES</v>
          </cell>
        </row>
        <row r="637">
          <cell r="N637" t="str">
            <v>THAARA</v>
          </cell>
        </row>
        <row r="638">
          <cell r="N638" t="str">
            <v>THANGATHI</v>
          </cell>
        </row>
        <row r="639">
          <cell r="N639" t="str">
            <v>THIGIO</v>
          </cell>
        </row>
        <row r="640">
          <cell r="N640" t="str">
            <v>THIKA</v>
          </cell>
        </row>
        <row r="641">
          <cell r="N641" t="str">
            <v>TIGIJI</v>
          </cell>
        </row>
        <row r="642">
          <cell r="N642" t="str">
            <v>TIMAU</v>
          </cell>
        </row>
        <row r="643">
          <cell r="N643" t="str">
            <v>TIMAU</v>
          </cell>
        </row>
        <row r="644">
          <cell r="N644" t="str">
            <v>TIMBER MILL RD</v>
          </cell>
        </row>
        <row r="645">
          <cell r="N645" t="str">
            <v>TIMBOROA</v>
          </cell>
        </row>
        <row r="646">
          <cell r="N646" t="str">
            <v>TIRIKI</v>
          </cell>
        </row>
        <row r="647">
          <cell r="N647" t="str">
            <v>TOM MBOYA ST</v>
          </cell>
        </row>
        <row r="648">
          <cell r="N648" t="str">
            <v>TOMBE</v>
          </cell>
        </row>
        <row r="649">
          <cell r="N649" t="str">
            <v>TONGAREN</v>
          </cell>
        </row>
        <row r="650">
          <cell r="N650" t="str">
            <v>TORONGO</v>
          </cell>
        </row>
        <row r="651">
          <cell r="N651" t="str">
            <v>TOT</v>
          </cell>
        </row>
        <row r="652">
          <cell r="N652" t="str">
            <v>TULIA</v>
          </cell>
        </row>
        <row r="653">
          <cell r="N653" t="str">
            <v>TUMU TUMU</v>
          </cell>
        </row>
        <row r="654">
          <cell r="N654" t="str">
            <v>TUNYAI</v>
          </cell>
        </row>
        <row r="655">
          <cell r="N655" t="str">
            <v>TURBO</v>
          </cell>
        </row>
        <row r="656">
          <cell r="N656" t="str">
            <v>TURI</v>
          </cell>
        </row>
        <row r="657">
          <cell r="N657" t="str">
            <v>UASO NYIRO</v>
          </cell>
        </row>
        <row r="658">
          <cell r="N658" t="str">
            <v>UGUNJA</v>
          </cell>
        </row>
        <row r="659">
          <cell r="N659" t="str">
            <v>UHURU GARDENS</v>
          </cell>
        </row>
        <row r="660">
          <cell r="N660" t="str">
            <v>UKUNDA</v>
          </cell>
        </row>
        <row r="661">
          <cell r="N661" t="str">
            <v>UKWALA</v>
          </cell>
        </row>
        <row r="662">
          <cell r="N662" t="str">
            <v>UPLANDS</v>
          </cell>
        </row>
        <row r="663">
          <cell r="N663" t="str">
            <v>URANGA</v>
          </cell>
        </row>
        <row r="664">
          <cell r="N664" t="str">
            <v>URIRI</v>
          </cell>
        </row>
        <row r="665">
          <cell r="N665" t="str">
            <v>USENGE</v>
          </cell>
        </row>
        <row r="666">
          <cell r="N666" t="str">
            <v>USIGU</v>
          </cell>
        </row>
        <row r="667">
          <cell r="N667" t="str">
            <v>UTHIRU</v>
          </cell>
        </row>
        <row r="668">
          <cell r="N668" t="str">
            <v>VALLEY ARCADE</v>
          </cell>
        </row>
        <row r="669">
          <cell r="N669" t="str">
            <v>VANGA</v>
          </cell>
        </row>
        <row r="670">
          <cell r="N670" t="str">
            <v>VIHIGA</v>
          </cell>
        </row>
        <row r="671">
          <cell r="N671" t="str">
            <v>VILLAGE MARKET</v>
          </cell>
        </row>
        <row r="672">
          <cell r="N672" t="str">
            <v>VIPINGO</v>
          </cell>
        </row>
        <row r="673">
          <cell r="N673" t="str">
            <v>VITENGENI</v>
          </cell>
        </row>
        <row r="674">
          <cell r="N674" t="str">
            <v>VIWANDANI</v>
          </cell>
        </row>
        <row r="675">
          <cell r="N675" t="str">
            <v>VOI</v>
          </cell>
        </row>
        <row r="676">
          <cell r="N676" t="str">
            <v>VOO</v>
          </cell>
        </row>
        <row r="677">
          <cell r="N677" t="str">
            <v>WAGUSU</v>
          </cell>
        </row>
        <row r="678">
          <cell r="N678" t="str">
            <v>WAITHAKA</v>
          </cell>
        </row>
        <row r="679">
          <cell r="N679" t="str">
            <v>NYAMBUNWA</v>
          </cell>
        </row>
        <row r="680">
          <cell r="N680" t="str">
            <v>NYAMIRA</v>
          </cell>
        </row>
        <row r="681">
          <cell r="N681" t="str">
            <v>NYAMONYE</v>
          </cell>
        </row>
        <row r="682">
          <cell r="N682" t="str">
            <v>NYAMTIRO</v>
          </cell>
        </row>
        <row r="683">
          <cell r="N683" t="str">
            <v>NYANGANDE</v>
          </cell>
        </row>
        <row r="684">
          <cell r="N684" t="str">
            <v>NYANGORI</v>
          </cell>
        </row>
        <row r="685">
          <cell r="N685" t="str">
            <v>NYANGUSU</v>
          </cell>
        </row>
        <row r="686">
          <cell r="N686" t="str">
            <v>NYANGWESO</v>
          </cell>
        </row>
        <row r="687">
          <cell r="N687" t="str">
            <v>NYANSIONGO</v>
          </cell>
        </row>
        <row r="688">
          <cell r="N688" t="str">
            <v>NYANTURAGO</v>
          </cell>
        </row>
        <row r="689">
          <cell r="N689" t="str">
            <v>NYARAMBA</v>
          </cell>
        </row>
        <row r="690">
          <cell r="N690" t="str">
            <v>NYARU</v>
          </cell>
        </row>
        <row r="691">
          <cell r="N691" t="str">
            <v>NYATIKE</v>
          </cell>
        </row>
        <row r="692">
          <cell r="N692" t="str">
            <v>NYAWARA</v>
          </cell>
        </row>
        <row r="693">
          <cell r="N693" t="str">
            <v>NYAYO STADIUM</v>
          </cell>
        </row>
        <row r="694">
          <cell r="N694" t="str">
            <v>NYERI</v>
          </cell>
        </row>
        <row r="695">
          <cell r="N695" t="str">
            <v>NYILIMA</v>
          </cell>
        </row>
        <row r="696">
          <cell r="N696" t="str">
            <v>NZEEKA</v>
          </cell>
        </row>
        <row r="697">
          <cell r="N697" t="str">
            <v>NZIU</v>
          </cell>
        </row>
        <row r="698">
          <cell r="N698" t="str">
            <v>NZOIA</v>
          </cell>
        </row>
        <row r="699">
          <cell r="N699" t="str">
            <v>OBEKAI</v>
          </cell>
        </row>
        <row r="700">
          <cell r="N700" t="str">
            <v>OBOCH</v>
          </cell>
        </row>
        <row r="701">
          <cell r="N701" t="str">
            <v>OGEMBO</v>
          </cell>
        </row>
        <row r="702">
          <cell r="N702" t="str">
            <v>OGEN</v>
          </cell>
        </row>
        <row r="703">
          <cell r="N703" t="str">
            <v>OGONGO</v>
          </cell>
        </row>
        <row r="704">
          <cell r="N704" t="str">
            <v>OKIA</v>
          </cell>
        </row>
        <row r="705">
          <cell r="N705" t="str">
            <v>OL JORO OROK</v>
          </cell>
        </row>
        <row r="706">
          <cell r="N706" t="str">
            <v>OL KALOU</v>
          </cell>
        </row>
        <row r="707">
          <cell r="N707" t="str">
            <v>OLBUTYO</v>
          </cell>
        </row>
        <row r="708">
          <cell r="N708" t="str">
            <v>OLENGURUONE</v>
          </cell>
        </row>
        <row r="709">
          <cell r="N709" t="str">
            <v>OLKURTO</v>
          </cell>
        </row>
        <row r="710">
          <cell r="N710" t="str">
            <v>OLOLOLUNGA</v>
          </cell>
        </row>
        <row r="711">
          <cell r="N711" t="str">
            <v>OLOOMIRANI</v>
          </cell>
        </row>
        <row r="712">
          <cell r="N712" t="str">
            <v>OLTEPESI</v>
          </cell>
        </row>
        <row r="713">
          <cell r="N713" t="str">
            <v>OMBOGA</v>
          </cell>
        </row>
        <row r="714">
          <cell r="N714" t="str">
            <v>OMOGONCHORO</v>
          </cell>
        </row>
        <row r="715">
          <cell r="N715" t="str">
            <v>ONGATA RONGAI</v>
          </cell>
        </row>
        <row r="716">
          <cell r="N716" t="str">
            <v>ORIANG</v>
          </cell>
        </row>
        <row r="717">
          <cell r="N717" t="str">
            <v>ORTUM</v>
          </cell>
        </row>
        <row r="718">
          <cell r="N718" t="str">
            <v>OTARO</v>
          </cell>
        </row>
        <row r="719">
          <cell r="N719" t="str">
            <v>OTHAYA</v>
          </cell>
        </row>
        <row r="720">
          <cell r="N720" t="str">
            <v>OTHOCH RAKUOM</v>
          </cell>
        </row>
        <row r="721">
          <cell r="N721" t="str">
            <v>OTHORO</v>
          </cell>
        </row>
        <row r="722">
          <cell r="N722" t="str">
            <v>OTONGLO</v>
          </cell>
        </row>
        <row r="723">
          <cell r="N723" t="str">
            <v>OYUGIS</v>
          </cell>
        </row>
        <row r="724">
          <cell r="N724" t="str">
            <v>PALA</v>
          </cell>
        </row>
        <row r="725">
          <cell r="N725" t="str">
            <v>PAP ONDITI</v>
          </cell>
        </row>
        <row r="726">
          <cell r="N726" t="str">
            <v>PARKLANDS</v>
          </cell>
        </row>
        <row r="727">
          <cell r="N727" t="str">
            <v>PASSENGA</v>
          </cell>
        </row>
        <row r="728">
          <cell r="N728" t="str">
            <v>PAW AKUCHE</v>
          </cell>
        </row>
        <row r="729">
          <cell r="N729" t="str">
            <v>PEMBE TATU</v>
          </cell>
        </row>
        <row r="730">
          <cell r="N730" t="str">
            <v>PLATEAU</v>
          </cell>
        </row>
        <row r="731">
          <cell r="N731" t="str">
            <v>PORT VICTORIA</v>
          </cell>
        </row>
        <row r="732">
          <cell r="N732" t="str">
            <v>QUARRY ROAD</v>
          </cell>
        </row>
        <row r="733">
          <cell r="N733" t="str">
            <v>RABUOR</v>
          </cell>
        </row>
        <row r="734">
          <cell r="N734" t="str">
            <v>RACECOURSE ROAD</v>
          </cell>
        </row>
        <row r="735">
          <cell r="N735" t="str">
            <v>RAGENGNI</v>
          </cell>
        </row>
        <row r="736">
          <cell r="N736" t="str">
            <v>RAKWARO</v>
          </cell>
        </row>
        <row r="737">
          <cell r="N737" t="str">
            <v>RAMBA</v>
          </cell>
        </row>
        <row r="738">
          <cell r="N738" t="str">
            <v>RAMULA</v>
          </cell>
        </row>
        <row r="739">
          <cell r="N739" t="str">
            <v>RANEN</v>
          </cell>
        </row>
        <row r="740">
          <cell r="N740" t="str">
            <v>RANGALA</v>
          </cell>
        </row>
        <row r="741">
          <cell r="N741" t="str">
            <v>RANGWE</v>
          </cell>
        </row>
        <row r="742">
          <cell r="N742" t="str">
            <v>RAPOGI</v>
          </cell>
        </row>
        <row r="743">
          <cell r="N743" t="str">
            <v>RATTA</v>
          </cell>
        </row>
        <row r="744">
          <cell r="N744" t="str">
            <v>RERU</v>
          </cell>
        </row>
        <row r="745">
          <cell r="N745" t="str">
            <v>RHAMU</v>
          </cell>
        </row>
        <row r="746">
          <cell r="N746" t="str">
            <v>RIGOMA</v>
          </cell>
        </row>
        <row r="747">
          <cell r="N747" t="str">
            <v>RINGA</v>
          </cell>
        </row>
        <row r="748">
          <cell r="N748" t="str">
            <v>RIOCHANDA</v>
          </cell>
        </row>
        <row r="749">
          <cell r="N749" t="str">
            <v>RIOSIRI</v>
          </cell>
        </row>
        <row r="750">
          <cell r="N750" t="str">
            <v>RIRUTA</v>
          </cell>
        </row>
        <row r="751">
          <cell r="N751" t="str">
            <v>RODI KOPANYI</v>
          </cell>
        </row>
        <row r="752">
          <cell r="N752" t="str">
            <v>RONALD NGALA ST</v>
          </cell>
        </row>
        <row r="753">
          <cell r="N753" t="str">
            <v>RONDA</v>
          </cell>
        </row>
        <row r="754">
          <cell r="N754" t="str">
            <v>RONGAI</v>
          </cell>
        </row>
        <row r="755">
          <cell r="N755" t="str">
            <v>RONGO</v>
          </cell>
        </row>
        <row r="756">
          <cell r="N756" t="str">
            <v>RORET</v>
          </cell>
        </row>
        <row r="757">
          <cell r="N757" t="str">
            <v>RUARAKA</v>
          </cell>
        </row>
        <row r="758">
          <cell r="N758" t="str">
            <v>RUIRU</v>
          </cell>
        </row>
        <row r="759">
          <cell r="N759" t="str">
            <v>RUMURUTU</v>
          </cell>
        </row>
        <row r="760">
          <cell r="N760" t="str">
            <v>RUNYENJES</v>
          </cell>
        </row>
        <row r="761">
          <cell r="N761" t="str">
            <v>RURI</v>
          </cell>
        </row>
        <row r="762">
          <cell r="N762" t="str">
            <v>RURINGU</v>
          </cell>
        </row>
        <row r="763">
          <cell r="N763" t="str">
            <v>RUSINGA</v>
          </cell>
        </row>
        <row r="764">
          <cell r="N764" t="str">
            <v>RUTHANGATI</v>
          </cell>
        </row>
        <row r="765">
          <cell r="N765" t="str">
            <v>SABA SABA</v>
          </cell>
        </row>
        <row r="766">
          <cell r="N766" t="str">
            <v>SABATIA</v>
          </cell>
        </row>
        <row r="767">
          <cell r="N767" t="str">
            <v>SABOTI</v>
          </cell>
        </row>
        <row r="768">
          <cell r="N768" t="str">
            <v>SAGALLA</v>
          </cell>
        </row>
        <row r="769">
          <cell r="N769" t="str">
            <v>SAGANA</v>
          </cell>
        </row>
        <row r="770">
          <cell r="N770" t="str">
            <v>SAMBURU</v>
          </cell>
        </row>
        <row r="771">
          <cell r="N771" t="str">
            <v>SAMITSI</v>
          </cell>
        </row>
        <row r="772">
          <cell r="N772" t="str">
            <v>SARE</v>
          </cell>
        </row>
        <row r="773">
          <cell r="N773" t="str">
            <v>SARIT CENTRE</v>
          </cell>
        </row>
        <row r="774">
          <cell r="N774" t="str">
            <v>SASUMUA ROAD</v>
          </cell>
        </row>
        <row r="775">
          <cell r="N775" t="str">
            <v>SAWAGONGO</v>
          </cell>
        </row>
        <row r="776">
          <cell r="N776" t="str">
            <v>SEGA</v>
          </cell>
        </row>
        <row r="777">
          <cell r="N777" t="str">
            <v>SEREM</v>
          </cell>
        </row>
        <row r="778">
          <cell r="N778" t="str">
            <v>SERETUNIN</v>
          </cell>
        </row>
        <row r="779">
          <cell r="N779" t="str">
            <v>SHABAAB</v>
          </cell>
        </row>
        <row r="780">
          <cell r="N780" t="str">
            <v>SHIANDA</v>
          </cell>
        </row>
        <row r="781">
          <cell r="N781" t="str">
            <v>SHIATSALA</v>
          </cell>
        </row>
        <row r="782">
          <cell r="N782" t="str">
            <v>SHIBULI</v>
          </cell>
        </row>
        <row r="783">
          <cell r="N783" t="str">
            <v>SHIMANYIRO</v>
          </cell>
        </row>
        <row r="784">
          <cell r="N784" t="str">
            <v>SHIMBA HILLS</v>
          </cell>
        </row>
        <row r="785">
          <cell r="N785" t="str">
            <v>SHIYALU</v>
          </cell>
        </row>
        <row r="786">
          <cell r="N786" t="str">
            <v>SIAKAGO</v>
          </cell>
        </row>
        <row r="787">
          <cell r="N787" t="str">
            <v>SIAYA</v>
          </cell>
        </row>
        <row r="788">
          <cell r="N788" t="str">
            <v>SIDINDI</v>
          </cell>
        </row>
        <row r="789">
          <cell r="N789" t="str">
            <v>SIFUYO</v>
          </cell>
        </row>
        <row r="790">
          <cell r="N790" t="str">
            <v>SIGOMRE</v>
          </cell>
        </row>
        <row r="791">
          <cell r="N791" t="str">
            <v>SIGOR</v>
          </cell>
        </row>
        <row r="792">
          <cell r="N792" t="str">
            <v>SIGOTI</v>
          </cell>
        </row>
        <row r="793">
          <cell r="N793" t="str">
            <v>SIGOWET</v>
          </cell>
        </row>
        <row r="794">
          <cell r="N794" t="str">
            <v>SIKINWA</v>
          </cell>
        </row>
        <row r="795">
          <cell r="N795" t="str">
            <v>SILIBWET</v>
          </cell>
        </row>
        <row r="796">
          <cell r="N796" t="str">
            <v>WAJIR</v>
          </cell>
        </row>
        <row r="797">
          <cell r="N797" t="str">
            <v>WAMAGANA</v>
          </cell>
        </row>
        <row r="798">
          <cell r="N798" t="str">
            <v>WAMBA</v>
          </cell>
        </row>
        <row r="799">
          <cell r="N799" t="str">
            <v>MATATHIA</v>
          </cell>
        </row>
        <row r="800">
          <cell r="N800" t="str">
            <v>MATAYOS</v>
          </cell>
        </row>
        <row r="801">
          <cell r="N801" t="str">
            <v>MATEKA</v>
          </cell>
        </row>
        <row r="802">
          <cell r="N802" t="str">
            <v>MATETE</v>
          </cell>
        </row>
        <row r="803">
          <cell r="N803" t="str">
            <v>MATHARE VALLEY</v>
          </cell>
        </row>
        <row r="804">
          <cell r="N804" t="str">
            <v>MATHEINI</v>
          </cell>
        </row>
        <row r="805">
          <cell r="N805" t="str">
            <v>MATHUKI</v>
          </cell>
        </row>
        <row r="806">
          <cell r="N806" t="str">
            <v>MATILIKU</v>
          </cell>
        </row>
        <row r="807">
          <cell r="N807" t="str">
            <v>MATINYANI</v>
          </cell>
        </row>
        <row r="808">
          <cell r="N808" t="str">
            <v>MATOKHO</v>
          </cell>
        </row>
        <row r="809">
          <cell r="N809" t="str">
            <v>MATUGA</v>
          </cell>
        </row>
        <row r="810">
          <cell r="N810" t="str">
            <v>MATUNDA</v>
          </cell>
        </row>
        <row r="811">
          <cell r="N811" t="str">
            <v>MATUU</v>
          </cell>
        </row>
        <row r="812">
          <cell r="N812" t="str">
            <v>MAU NAROK</v>
          </cell>
        </row>
        <row r="813">
          <cell r="N813" t="str">
            <v>MAU SUMMIT</v>
          </cell>
        </row>
        <row r="814">
          <cell r="N814" t="str">
            <v>MAUA</v>
          </cell>
        </row>
        <row r="815">
          <cell r="N815" t="str">
            <v>MAUTAMA</v>
          </cell>
        </row>
        <row r="816">
          <cell r="N816" t="str">
            <v>MAVINDINI</v>
          </cell>
        </row>
        <row r="817">
          <cell r="N817" t="str">
            <v>MAWEGO</v>
          </cell>
        </row>
        <row r="818">
          <cell r="N818" t="str">
            <v>MAYANJA</v>
          </cell>
        </row>
        <row r="819">
          <cell r="N819" t="str">
            <v>MAZERAS</v>
          </cell>
        </row>
        <row r="820">
          <cell r="N820" t="str">
            <v>MBAGATHI</v>
          </cell>
        </row>
        <row r="821">
          <cell r="N821" t="str">
            <v>MBAKALO</v>
          </cell>
        </row>
        <row r="822">
          <cell r="N822" t="str">
            <v>MBALI YA NJIKU</v>
          </cell>
        </row>
        <row r="823">
          <cell r="N823" t="str">
            <v>MBITA</v>
          </cell>
        </row>
        <row r="824">
          <cell r="N824" t="str">
            <v>MBITINI</v>
          </cell>
        </row>
        <row r="825">
          <cell r="N825" t="str">
            <v>MBIUNI</v>
          </cell>
        </row>
        <row r="826">
          <cell r="N826" t="str">
            <v>MBONO ROAD</v>
          </cell>
        </row>
        <row r="827">
          <cell r="N827" t="str">
            <v>MBUMBUNI</v>
          </cell>
        </row>
        <row r="828">
          <cell r="N828" t="str">
            <v>MBUSYANI</v>
          </cell>
        </row>
        <row r="829">
          <cell r="N829" t="str">
            <v>MCHUMBI ROAD</v>
          </cell>
        </row>
        <row r="830">
          <cell r="N830" t="str">
            <v>MCHUNGUCHA</v>
          </cell>
        </row>
        <row r="831">
          <cell r="N831" t="str">
            <v>MENENGAI</v>
          </cell>
        </row>
        <row r="832">
          <cell r="N832" t="str">
            <v>MERIGI</v>
          </cell>
        </row>
        <row r="833">
          <cell r="N833" t="str">
            <v>MERU</v>
          </cell>
        </row>
        <row r="834">
          <cell r="N834" t="str">
            <v>MFANGANO</v>
          </cell>
        </row>
        <row r="835">
          <cell r="N835" t="str">
            <v>MGAMBONYI</v>
          </cell>
        </row>
        <row r="836">
          <cell r="N836" t="str">
            <v>MGANGE</v>
          </cell>
        </row>
        <row r="837">
          <cell r="N837" t="str">
            <v>MIATHENE</v>
          </cell>
        </row>
        <row r="838">
          <cell r="N838" t="str">
            <v>MIGIOINI</v>
          </cell>
        </row>
        <row r="839">
          <cell r="N839" t="str">
            <v>MIGWANI</v>
          </cell>
        </row>
        <row r="840">
          <cell r="N840" t="str">
            <v>MIHARATI</v>
          </cell>
        </row>
        <row r="841">
          <cell r="N841" t="str">
            <v>MIHUTI</v>
          </cell>
        </row>
        <row r="842">
          <cell r="N842" t="str">
            <v>MIKAYI</v>
          </cell>
        </row>
        <row r="843">
          <cell r="N843" t="str">
            <v>MIKINDURI</v>
          </cell>
        </row>
        <row r="844">
          <cell r="N844" t="str">
            <v>MIKUMBUNI</v>
          </cell>
        </row>
        <row r="845">
          <cell r="N845" t="str">
            <v>MILTON SIDING</v>
          </cell>
        </row>
        <row r="846">
          <cell r="N846" t="str">
            <v>MIRANGINE</v>
          </cell>
        </row>
        <row r="847">
          <cell r="N847" t="str">
            <v>MIROGI</v>
          </cell>
        </row>
        <row r="848">
          <cell r="N848" t="str">
            <v>MISIKHU</v>
          </cell>
        </row>
        <row r="849">
          <cell r="N849" t="str">
            <v>MISORI</v>
          </cell>
        </row>
        <row r="850">
          <cell r="N850" t="str">
            <v>MITABONI</v>
          </cell>
        </row>
        <row r="851">
          <cell r="N851" t="str">
            <v>MITUNGUU</v>
          </cell>
        </row>
        <row r="852">
          <cell r="N852" t="str">
            <v>MIU</v>
          </cell>
        </row>
        <row r="853">
          <cell r="N853" t="str">
            <v>MIWANI</v>
          </cell>
        </row>
        <row r="854">
          <cell r="N854" t="str">
            <v>MKOMANI</v>
          </cell>
        </row>
        <row r="855">
          <cell r="N855" t="str">
            <v>MOCHONGOI</v>
          </cell>
        </row>
        <row r="856">
          <cell r="N856" t="str">
            <v>MOGONGA</v>
          </cell>
        </row>
        <row r="857">
          <cell r="N857" t="str">
            <v>MOGOTIO</v>
          </cell>
        </row>
        <row r="858">
          <cell r="N858" t="str">
            <v>MOI AIRPORT</v>
          </cell>
        </row>
        <row r="859">
          <cell r="N859" t="str">
            <v>MOI AVENUE</v>
          </cell>
        </row>
        <row r="860">
          <cell r="N860" t="str">
            <v>MOI BEN</v>
          </cell>
        </row>
        <row r="861">
          <cell r="N861" t="str">
            <v>MOI UNIVERSITY</v>
          </cell>
        </row>
        <row r="862">
          <cell r="N862" t="str">
            <v>MOKOMONI</v>
          </cell>
        </row>
        <row r="863">
          <cell r="N863" t="str">
            <v>MOKOWE</v>
          </cell>
        </row>
        <row r="864">
          <cell r="N864" t="str">
            <v>MOLO</v>
          </cell>
        </row>
        <row r="865">
          <cell r="N865" t="str">
            <v>MOMBASA</v>
          </cell>
        </row>
        <row r="866">
          <cell r="N866" t="str">
            <v>MOSOCHO</v>
          </cell>
        </row>
        <row r="867">
          <cell r="N867" t="str">
            <v>MOSORIOT</v>
          </cell>
        </row>
        <row r="868">
          <cell r="N868" t="str">
            <v>MOSQUE ROAD</v>
          </cell>
        </row>
        <row r="869">
          <cell r="N869" t="str">
            <v>MOYARE</v>
          </cell>
        </row>
        <row r="870">
          <cell r="N870" t="str">
            <v>MPAKA</v>
          </cell>
        </row>
        <row r="871">
          <cell r="N871" t="str">
            <v>MPEKETONI</v>
          </cell>
        </row>
        <row r="872">
          <cell r="N872" t="str">
            <v>MSAMBWENI</v>
          </cell>
        </row>
        <row r="873">
          <cell r="N873" t="str">
            <v>MTITO ANDEI</v>
          </cell>
        </row>
        <row r="874">
          <cell r="N874" t="str">
            <v>MTONGWE</v>
          </cell>
        </row>
        <row r="875">
          <cell r="N875" t="str">
            <v>MTOPANGA</v>
          </cell>
        </row>
        <row r="876">
          <cell r="N876" t="str">
            <v>MTWAPA</v>
          </cell>
        </row>
        <row r="877">
          <cell r="N877" t="str">
            <v>MUBWAYO</v>
          </cell>
        </row>
        <row r="878">
          <cell r="N878" t="str">
            <v>MUDDO GASHE</v>
          </cell>
        </row>
        <row r="879">
          <cell r="N879" t="str">
            <v>MUDHIERO</v>
          </cell>
        </row>
        <row r="880">
          <cell r="N880" t="str">
            <v>MUGUGA</v>
          </cell>
        </row>
        <row r="881">
          <cell r="N881" t="str">
            <v>MUGUMOINI</v>
          </cell>
        </row>
        <row r="882">
          <cell r="N882" t="str">
            <v>MUGUNDA</v>
          </cell>
        </row>
        <row r="883">
          <cell r="N883" t="str">
            <v>MUHOHO</v>
          </cell>
        </row>
        <row r="884">
          <cell r="N884" t="str">
            <v>MUHORONI</v>
          </cell>
        </row>
        <row r="885">
          <cell r="N885" t="str">
            <v>MUHOTETU</v>
          </cell>
        </row>
        <row r="886">
          <cell r="N886" t="str">
            <v>MUHURU BAY</v>
          </cell>
        </row>
        <row r="887">
          <cell r="N887" t="str">
            <v>MUKARARA</v>
          </cell>
        </row>
        <row r="888">
          <cell r="N888" t="str">
            <v>MUKERENJU</v>
          </cell>
        </row>
        <row r="889">
          <cell r="N889" t="str">
            <v>MUKEU</v>
          </cell>
        </row>
        <row r="890">
          <cell r="N890" t="str">
            <v>MUKHE</v>
          </cell>
        </row>
        <row r="891">
          <cell r="N891" t="str">
            <v>MUKURO</v>
          </cell>
        </row>
        <row r="892">
          <cell r="N892" t="str">
            <v>MUKURWEINI</v>
          </cell>
        </row>
        <row r="893">
          <cell r="N893" t="str">
            <v>MULANGO</v>
          </cell>
        </row>
        <row r="894">
          <cell r="N894" t="str">
            <v>MULUANDA</v>
          </cell>
        </row>
        <row r="895">
          <cell r="N895" t="str">
            <v>MUMIAS</v>
          </cell>
        </row>
        <row r="896">
          <cell r="N896" t="str">
            <v>MUNAMI</v>
          </cell>
        </row>
        <row r="897">
          <cell r="N897" t="str">
            <v>MUNDIKA</v>
          </cell>
        </row>
        <row r="898">
          <cell r="N898" t="str">
            <v>MUNDORO</v>
          </cell>
        </row>
        <row r="899">
          <cell r="N899" t="str">
            <v>MUNGATSI</v>
          </cell>
        </row>
        <row r="900">
          <cell r="N900" t="str">
            <v>MUNYU</v>
          </cell>
        </row>
        <row r="901">
          <cell r="N901" t="str">
            <v>MURANGA</v>
          </cell>
        </row>
        <row r="902">
          <cell r="N902" t="str">
            <v>MURARANDIA</v>
          </cell>
        </row>
        <row r="903">
          <cell r="N903" t="str">
            <v>MURUKA</v>
          </cell>
        </row>
        <row r="904">
          <cell r="N904" t="str">
            <v>MURUMBA</v>
          </cell>
        </row>
        <row r="905">
          <cell r="N905" t="str">
            <v>MURUNGARU</v>
          </cell>
        </row>
        <row r="906">
          <cell r="N906" t="str">
            <v>MURURI</v>
          </cell>
        </row>
        <row r="907">
          <cell r="N907" t="str">
            <v>MUSANDA</v>
          </cell>
        </row>
        <row r="908">
          <cell r="N908" t="str">
            <v>MUTHA</v>
          </cell>
        </row>
        <row r="909">
          <cell r="N909" t="str">
            <v>MUTHAARA</v>
          </cell>
        </row>
        <row r="910">
          <cell r="N910" t="str">
            <v>MUTHAIGA</v>
          </cell>
        </row>
        <row r="911">
          <cell r="N911" t="str">
            <v>MUTHETHENI</v>
          </cell>
        </row>
        <row r="912">
          <cell r="N912" t="str">
            <v>MUTHINGA</v>
          </cell>
        </row>
        <row r="913">
          <cell r="N913" t="str">
            <v>MUTHITHI</v>
          </cell>
        </row>
        <row r="914">
          <cell r="N914" t="str">
            <v>MUTITUNI</v>
          </cell>
        </row>
        <row r="915">
          <cell r="N915" t="str">
            <v>MUTOMO</v>
          </cell>
        </row>
        <row r="916">
          <cell r="N916" t="str">
            <v>MUTUATI</v>
          </cell>
        </row>
        <row r="917">
          <cell r="N917" t="str">
            <v>MUTUMBU</v>
          </cell>
        </row>
        <row r="918">
          <cell r="N918" t="str">
            <v>MUUMANDU</v>
          </cell>
        </row>
        <row r="919">
          <cell r="N919" t="str">
            <v>MWALA</v>
          </cell>
        </row>
        <row r="920">
          <cell r="N920" t="str">
            <v>MWATATE</v>
          </cell>
        </row>
        <row r="921">
          <cell r="N921" t="str">
            <v>MWEIGA</v>
          </cell>
        </row>
        <row r="922">
          <cell r="N922" t="str">
            <v>MWERU</v>
          </cell>
        </row>
        <row r="923">
          <cell r="N923" t="str">
            <v>MWINGI</v>
          </cell>
        </row>
        <row r="924">
          <cell r="N924" t="str">
            <v>MYANGA</v>
          </cell>
        </row>
        <row r="925">
          <cell r="N925" t="str">
            <v>NAIRAGE ENKARE</v>
          </cell>
        </row>
        <row r="926">
          <cell r="N926" t="str">
            <v>NAIROBI GPO</v>
          </cell>
        </row>
        <row r="927">
          <cell r="N927" t="str">
            <v>NAISHI</v>
          </cell>
        </row>
        <row r="928">
          <cell r="N928" t="str">
            <v>NAITIRI</v>
          </cell>
        </row>
        <row r="929">
          <cell r="N929" t="str">
            <v>NAIVASHA</v>
          </cell>
        </row>
        <row r="930">
          <cell r="N930" t="str">
            <v>NAKURU</v>
          </cell>
        </row>
        <row r="931">
          <cell r="N931" t="str">
            <v>NALONDO</v>
          </cell>
        </row>
        <row r="932">
          <cell r="N932" t="str">
            <v>NAMANGA</v>
          </cell>
        </row>
        <row r="933">
          <cell r="N933" t="str">
            <v>NAMBACHA</v>
          </cell>
        </row>
        <row r="934">
          <cell r="N934" t="str">
            <v>NAMBALE</v>
          </cell>
        </row>
        <row r="935">
          <cell r="N935" t="str">
            <v>NAMORIO</v>
          </cell>
        </row>
        <row r="936">
          <cell r="N936" t="str">
            <v>NANDI HILLS</v>
          </cell>
        </row>
        <row r="937">
          <cell r="N937" t="str">
            <v>NANDOLIA</v>
          </cell>
        </row>
        <row r="938">
          <cell r="N938" t="str">
            <v>NANGILI</v>
          </cell>
        </row>
        <row r="939">
          <cell r="N939" t="str">
            <v>NANGO</v>
          </cell>
        </row>
        <row r="940">
          <cell r="N940" t="str">
            <v>NANYUKI</v>
          </cell>
        </row>
        <row r="941">
          <cell r="N941" t="str">
            <v>NARO MORU</v>
          </cell>
        </row>
        <row r="942">
          <cell r="N942" t="str">
            <v>NARO SURA</v>
          </cell>
        </row>
        <row r="943">
          <cell r="N943" t="str">
            <v>NAROK</v>
          </cell>
        </row>
        <row r="944">
          <cell r="N944" t="str">
            <v>NDAKAINI</v>
          </cell>
        </row>
        <row r="945">
          <cell r="N945" t="str">
            <v>NDALANI</v>
          </cell>
        </row>
        <row r="946">
          <cell r="N946" t="str">
            <v>NDALAT</v>
          </cell>
        </row>
        <row r="947">
          <cell r="N947" t="str">
            <v>NDALU</v>
          </cell>
        </row>
        <row r="948">
          <cell r="N948" t="str">
            <v>NDANAI</v>
          </cell>
        </row>
        <row r="949">
          <cell r="N949" t="str">
            <v>NDARAGWA</v>
          </cell>
        </row>
        <row r="950">
          <cell r="N950" t="str">
            <v>NDARAWETA</v>
          </cell>
        </row>
        <row r="951">
          <cell r="N951" t="str">
            <v>NDENDERU</v>
          </cell>
        </row>
        <row r="952">
          <cell r="N952" t="str">
            <v>NDERE</v>
          </cell>
        </row>
        <row r="953">
          <cell r="N953" t="str">
            <v>NDERU</v>
          </cell>
        </row>
        <row r="954">
          <cell r="N954" t="str">
            <v>NDHIWA</v>
          </cell>
        </row>
        <row r="955">
          <cell r="N955" t="str">
            <v>NDIGWA</v>
          </cell>
        </row>
        <row r="956">
          <cell r="N956" t="str">
            <v>NDIRU</v>
          </cell>
        </row>
        <row r="957">
          <cell r="N957" t="str">
            <v>NDITHINI</v>
          </cell>
        </row>
        <row r="958">
          <cell r="N958" t="str">
            <v>NDIVISI</v>
          </cell>
        </row>
        <row r="959">
          <cell r="N959" t="str">
            <v>NDOOA</v>
          </cell>
        </row>
        <row r="960">
          <cell r="N960" t="str">
            <v>NDORI</v>
          </cell>
        </row>
        <row r="961">
          <cell r="N961" t="str">
            <v>NDUNYU NJERU</v>
          </cell>
        </row>
        <row r="962">
          <cell r="N962" t="str">
            <v>NGAMBWA</v>
          </cell>
        </row>
        <row r="963">
          <cell r="N963" t="str">
            <v>NGANDURI</v>
          </cell>
        </row>
        <row r="964">
          <cell r="N964" t="str">
            <v>NGANO</v>
          </cell>
        </row>
        <row r="965">
          <cell r="N965" t="str">
            <v>NGARA RD</v>
          </cell>
        </row>
        <row r="966">
          <cell r="N966" t="str">
            <v>NGARUA</v>
          </cell>
        </row>
        <row r="967">
          <cell r="N967" t="str">
            <v>NGECHA</v>
          </cell>
        </row>
        <row r="968">
          <cell r="N968" t="str">
            <v>NGELESHA</v>
          </cell>
        </row>
        <row r="969">
          <cell r="N969" t="str">
            <v>NGEWA</v>
          </cell>
        </row>
        <row r="970">
          <cell r="N970" t="str">
            <v>NGINYANG</v>
          </cell>
        </row>
        <row r="971">
          <cell r="N971" t="str">
            <v>NGIYA</v>
          </cell>
        </row>
        <row r="972">
          <cell r="N972" t="str">
            <v>NGOLIBA</v>
          </cell>
        </row>
        <row r="973">
          <cell r="N973" t="str">
            <v>NGONDA</v>
          </cell>
        </row>
        <row r="974">
          <cell r="N974" t="str">
            <v>NGONG HILLS</v>
          </cell>
        </row>
        <row r="975">
          <cell r="N975" t="str">
            <v>NGONG RD</v>
          </cell>
        </row>
        <row r="976">
          <cell r="N976" t="str">
            <v>NGORIKA</v>
          </cell>
        </row>
        <row r="977">
          <cell r="N977" t="str">
            <v>NGORONGO</v>
          </cell>
        </row>
        <row r="978">
          <cell r="N978" t="str">
            <v>NGUNI</v>
          </cell>
        </row>
        <row r="979">
          <cell r="N979" t="str">
            <v>NGUYOINI</v>
          </cell>
        </row>
        <row r="980">
          <cell r="N980" t="str">
            <v>NGWATA</v>
          </cell>
        </row>
        <row r="981">
          <cell r="N981" t="str">
            <v>NJIPISHIP</v>
          </cell>
        </row>
        <row r="982">
          <cell r="N982" t="str">
            <v>NJORO</v>
          </cell>
        </row>
        <row r="983">
          <cell r="N983" t="str">
            <v>NKONDI</v>
          </cell>
        </row>
        <row r="984">
          <cell r="N984" t="str">
            <v>NKUBU</v>
          </cell>
        </row>
        <row r="985">
          <cell r="N985" t="str">
            <v>NORTH KINANGOP</v>
          </cell>
        </row>
        <row r="986">
          <cell r="N986" t="str">
            <v>NORTH KINANGOP</v>
          </cell>
        </row>
        <row r="987">
          <cell r="N987" t="str">
            <v>NTIMARU</v>
          </cell>
        </row>
        <row r="988">
          <cell r="N988" t="str">
            <v>NUNGUNI</v>
          </cell>
        </row>
        <row r="989">
          <cell r="N989" t="str">
            <v>NUU</v>
          </cell>
        </row>
        <row r="990">
          <cell r="N990" t="str">
            <v>NYABONDO</v>
          </cell>
        </row>
        <row r="991">
          <cell r="N991" t="str">
            <v>NYABURI</v>
          </cell>
        </row>
        <row r="992">
          <cell r="N992" t="str">
            <v>NYACHEKI</v>
          </cell>
        </row>
        <row r="993">
          <cell r="N993" t="str">
            <v>NYADORERA</v>
          </cell>
        </row>
        <row r="994">
          <cell r="N994" t="str">
            <v>NYAHURURU</v>
          </cell>
        </row>
        <row r="995">
          <cell r="N995" t="str">
            <v>NYAKWERE</v>
          </cell>
        </row>
        <row r="996">
          <cell r="N996" t="str">
            <v>NYALI</v>
          </cell>
        </row>
        <row r="997">
          <cell r="N997" t="str">
            <v>NYAMACHE</v>
          </cell>
        </row>
        <row r="998">
          <cell r="N998" t="str">
            <v>WAMUNYU</v>
          </cell>
        </row>
        <row r="999">
          <cell r="N999" t="str">
            <v>WAMWANGI</v>
          </cell>
        </row>
        <row r="1000">
          <cell r="N1000" t="str">
            <v>WANGIGE</v>
          </cell>
        </row>
        <row r="1001">
          <cell r="N1001" t="str">
            <v>WANGURU</v>
          </cell>
        </row>
        <row r="1002">
          <cell r="N1002" t="str">
            <v>WANJENGI</v>
          </cell>
        </row>
        <row r="1003">
          <cell r="N1003" t="str">
            <v>WANJOHI</v>
          </cell>
        </row>
        <row r="1004">
          <cell r="N1004" t="str">
            <v>WATALII ROAD</v>
          </cell>
        </row>
        <row r="1005">
          <cell r="N1005" t="str">
            <v>WATAMU</v>
          </cell>
        </row>
        <row r="1006">
          <cell r="N1006" t="str">
            <v>WEBUYE</v>
          </cell>
        </row>
        <row r="1007">
          <cell r="N1007" t="str">
            <v>WEIWEI</v>
          </cell>
        </row>
        <row r="1008">
          <cell r="N1008" t="str">
            <v>WERUGHA</v>
          </cell>
        </row>
        <row r="1009">
          <cell r="N1009" t="str">
            <v>WESTLANDS</v>
          </cell>
        </row>
        <row r="1010">
          <cell r="N1010" t="str">
            <v>WINAM</v>
          </cell>
        </row>
        <row r="1011">
          <cell r="N1011" t="str">
            <v>WITU</v>
          </cell>
        </row>
        <row r="1012">
          <cell r="N1012" t="str">
            <v>WODANGA</v>
          </cell>
        </row>
        <row r="1013">
          <cell r="N1013" t="str">
            <v>WUNDANYI</v>
          </cell>
        </row>
        <row r="1014">
          <cell r="N1014" t="str">
            <v>YALA</v>
          </cell>
        </row>
        <row r="1015">
          <cell r="N1015" t="str">
            <v>YAYA TOWERS</v>
          </cell>
        </row>
        <row r="1016">
          <cell r="N1016" t="str">
            <v>YOANI</v>
          </cell>
        </row>
        <row r="1017">
          <cell r="N1017" t="str">
            <v>ZIWA</v>
          </cell>
        </row>
        <row r="1018">
          <cell r="N1018" t="str">
            <v>ZOMBE</v>
          </cell>
        </row>
        <row r="1019">
          <cell r="N1019" t="str">
            <v>ARCHER'S P0ST</v>
          </cell>
        </row>
        <row r="1020">
          <cell r="N1020" t="str">
            <v>IIANI YI MANG'ULU</v>
          </cell>
        </row>
        <row r="1021">
          <cell r="N1021" t="str">
            <v>MOI'S BRIDGE</v>
          </cell>
        </row>
      </sheetData>
      <sheetData sheetId="1" refreshError="1"/>
      <sheetData sheetId="2" refreshError="1"/>
      <sheetData sheetId="3" refreshError="1"/>
      <sheetData sheetId="4" refreshError="1"/>
      <sheetData sheetId="5">
        <row r="3">
          <cell r="B3"/>
          <cell r="C3"/>
          <cell r="D3"/>
          <cell r="E3"/>
          <cell r="F3"/>
          <cell r="G3"/>
        </row>
        <row r="6">
          <cell r="B6"/>
        </row>
        <row r="10">
          <cell r="B10"/>
        </row>
        <row r="11">
          <cell r="B11"/>
        </row>
        <row r="13">
          <cell r="B13"/>
        </row>
        <row r="21">
          <cell r="B21"/>
        </row>
        <row r="22">
          <cell r="B22"/>
        </row>
        <row r="28">
          <cell r="B28"/>
        </row>
        <row r="29">
          <cell r="B29"/>
        </row>
        <row r="34">
          <cell r="B34"/>
        </row>
        <row r="39">
          <cell r="A39"/>
          <cell r="H39"/>
          <cell r="O39"/>
          <cell r="R39"/>
        </row>
        <row r="40">
          <cell r="A40"/>
          <cell r="H40"/>
          <cell r="K40"/>
          <cell r="R40"/>
        </row>
        <row r="41">
          <cell r="P41">
            <v>0</v>
          </cell>
        </row>
        <row r="47">
          <cell r="A47"/>
          <cell r="H47"/>
          <cell r="O47"/>
          <cell r="R47"/>
        </row>
        <row r="48">
          <cell r="A48"/>
          <cell r="H48"/>
          <cell r="K48"/>
          <cell r="O48"/>
          <cell r="R48"/>
        </row>
        <row r="49">
          <cell r="P49">
            <v>0</v>
          </cell>
        </row>
      </sheetData>
      <sheetData sheetId="6">
        <row r="3">
          <cell r="E3">
            <v>0</v>
          </cell>
        </row>
        <row r="64">
          <cell r="H64">
            <v>0</v>
          </cell>
        </row>
        <row r="90">
          <cell r="H90">
            <v>0</v>
          </cell>
        </row>
        <row r="105">
          <cell r="C105">
            <v>0</v>
          </cell>
          <cell r="D105">
            <v>0</v>
          </cell>
          <cell r="E105">
            <v>0</v>
          </cell>
          <cell r="F105">
            <v>0</v>
          </cell>
          <cell r="G105">
            <v>0</v>
          </cell>
          <cell r="H105">
            <v>0</v>
          </cell>
        </row>
        <row r="114">
          <cell r="H114"/>
        </row>
        <row r="115">
          <cell r="H115"/>
        </row>
        <row r="116">
          <cell r="H116"/>
        </row>
        <row r="117">
          <cell r="H117"/>
        </row>
        <row r="118">
          <cell r="H118"/>
        </row>
        <row r="119">
          <cell r="H119"/>
        </row>
        <row r="120">
          <cell r="C120">
            <v>0</v>
          </cell>
          <cell r="D120">
            <v>0</v>
          </cell>
          <cell r="E120">
            <v>0</v>
          </cell>
          <cell r="F120">
            <v>0</v>
          </cell>
          <cell r="G120">
            <v>0</v>
          </cell>
        </row>
      </sheetData>
      <sheetData sheetId="7">
        <row r="4">
          <cell r="C4">
            <v>0</v>
          </cell>
        </row>
        <row r="13">
          <cell r="C13">
            <v>0</v>
          </cell>
        </row>
        <row r="20">
          <cell r="C20">
            <v>0</v>
          </cell>
        </row>
        <row r="21">
          <cell r="C21">
            <v>0</v>
          </cell>
        </row>
        <row r="22">
          <cell r="C22">
            <v>0</v>
          </cell>
        </row>
        <row r="28">
          <cell r="C28">
            <v>0</v>
          </cell>
        </row>
        <row r="33">
          <cell r="C33">
            <v>0</v>
          </cell>
        </row>
        <row r="39">
          <cell r="C39">
            <v>0</v>
          </cell>
        </row>
        <row r="49">
          <cell r="C49">
            <v>0</v>
          </cell>
        </row>
        <row r="50">
          <cell r="C50">
            <v>0</v>
          </cell>
        </row>
        <row r="58">
          <cell r="C58">
            <v>0</v>
          </cell>
        </row>
        <row r="63">
          <cell r="C63">
            <v>0</v>
          </cell>
        </row>
        <row r="66">
          <cell r="C66">
            <v>0</v>
          </cell>
        </row>
        <row r="76">
          <cell r="C76">
            <v>0</v>
          </cell>
        </row>
        <row r="77">
          <cell r="C77">
            <v>0</v>
          </cell>
        </row>
        <row r="84">
          <cell r="C84">
            <v>0</v>
          </cell>
        </row>
        <row r="93">
          <cell r="C93">
            <v>0</v>
          </cell>
        </row>
      </sheetData>
      <sheetData sheetId="8">
        <row r="3">
          <cell r="K3"/>
          <cell r="L3"/>
        </row>
        <row r="4">
          <cell r="K4"/>
          <cell r="L4"/>
        </row>
        <row r="5">
          <cell r="C5">
            <v>0</v>
          </cell>
          <cell r="D5">
            <v>0</v>
          </cell>
          <cell r="E5">
            <v>0</v>
          </cell>
          <cell r="F5">
            <v>0</v>
          </cell>
          <cell r="G5">
            <v>0</v>
          </cell>
          <cell r="H5">
            <v>0</v>
          </cell>
          <cell r="I5">
            <v>0</v>
          </cell>
          <cell r="J5">
            <v>0</v>
          </cell>
          <cell r="K5">
            <v>0</v>
          </cell>
        </row>
        <row r="10">
          <cell r="N10"/>
          <cell r="O10"/>
        </row>
        <row r="11">
          <cell r="N11"/>
          <cell r="O11"/>
        </row>
        <row r="12">
          <cell r="C12">
            <v>0</v>
          </cell>
          <cell r="D12">
            <v>0</v>
          </cell>
          <cell r="E12">
            <v>0</v>
          </cell>
          <cell r="F12">
            <v>0</v>
          </cell>
          <cell r="G12">
            <v>0</v>
          </cell>
          <cell r="H12">
            <v>0</v>
          </cell>
          <cell r="I12">
            <v>0</v>
          </cell>
          <cell r="J12">
            <v>0</v>
          </cell>
          <cell r="K12">
            <v>0</v>
          </cell>
          <cell r="L12">
            <v>0</v>
          </cell>
          <cell r="N12">
            <v>0</v>
          </cell>
        </row>
      </sheetData>
      <sheetData sheetId="9">
        <row r="3">
          <cell r="E3"/>
          <cell r="I3"/>
        </row>
        <row r="4">
          <cell r="I4"/>
        </row>
        <row r="5">
          <cell r="G5">
            <v>0</v>
          </cell>
          <cell r="H5">
            <v>0</v>
          </cell>
        </row>
        <row r="10">
          <cell r="F10"/>
          <cell r="I10"/>
        </row>
        <row r="11">
          <cell r="F11"/>
          <cell r="I11"/>
        </row>
        <row r="12">
          <cell r="D12">
            <v>0</v>
          </cell>
          <cell r="E12">
            <v>0</v>
          </cell>
          <cell r="F12">
            <v>0</v>
          </cell>
          <cell r="G12">
            <v>0</v>
          </cell>
          <cell r="H12">
            <v>0</v>
          </cell>
          <cell r="I12">
            <v>0</v>
          </cell>
        </row>
        <row r="17">
          <cell r="B17"/>
          <cell r="G17"/>
        </row>
        <row r="18">
          <cell r="G18"/>
        </row>
        <row r="19">
          <cell r="C19">
            <v>0</v>
          </cell>
          <cell r="D19">
            <v>0</v>
          </cell>
          <cell r="E19">
            <v>0</v>
          </cell>
          <cell r="F19">
            <v>0</v>
          </cell>
          <cell r="G19">
            <v>0</v>
          </cell>
        </row>
        <row r="24">
          <cell r="H24"/>
          <cell r="I24"/>
          <cell r="J24"/>
        </row>
        <row r="25">
          <cell r="H25"/>
          <cell r="I25"/>
          <cell r="J25"/>
        </row>
        <row r="26">
          <cell r="H26">
            <v>0</v>
          </cell>
          <cell r="I26">
            <v>0</v>
          </cell>
        </row>
      </sheetData>
      <sheetData sheetId="10">
        <row r="4">
          <cell r="B4">
            <v>37.5</v>
          </cell>
          <cell r="C4">
            <v>30</v>
          </cell>
          <cell r="D4">
            <v>25</v>
          </cell>
          <cell r="E4">
            <v>12.5</v>
          </cell>
          <cell r="G4" t="str">
            <v>rate</v>
          </cell>
        </row>
        <row r="5">
          <cell r="F5">
            <v>0</v>
          </cell>
          <cell r="G5" t="str">
            <v>balBD</v>
          </cell>
        </row>
        <row r="6">
          <cell r="F6">
            <v>0</v>
          </cell>
          <cell r="G6" t="str">
            <v>curAstVl</v>
          </cell>
        </row>
        <row r="7">
          <cell r="F7">
            <v>0</v>
          </cell>
          <cell r="G7" t="str">
            <v>sales</v>
          </cell>
        </row>
        <row r="8">
          <cell r="B8">
            <v>0</v>
          </cell>
          <cell r="C8">
            <v>0</v>
          </cell>
          <cell r="D8">
            <v>0</v>
          </cell>
          <cell r="E8">
            <v>0</v>
          </cell>
          <cell r="F8">
            <v>0</v>
          </cell>
          <cell r="G8" t="str">
            <v>balWAT</v>
          </cell>
        </row>
        <row r="9">
          <cell r="B9">
            <v>0</v>
          </cell>
          <cell r="C9">
            <v>0</v>
          </cell>
          <cell r="D9">
            <v>0</v>
          </cell>
          <cell r="E9">
            <v>0</v>
          </cell>
          <cell r="F9">
            <v>0</v>
          </cell>
          <cell r="G9" t="str">
            <v>WAT</v>
          </cell>
        </row>
        <row r="10">
          <cell r="B10">
            <v>0</v>
          </cell>
          <cell r="C10">
            <v>0</v>
          </cell>
          <cell r="D10">
            <v>0</v>
          </cell>
          <cell r="E10">
            <v>0</v>
          </cell>
          <cell r="F10">
            <v>0</v>
          </cell>
          <cell r="G10" t="str">
            <v>balCD</v>
          </cell>
        </row>
      </sheetData>
      <sheetData sheetId="11">
        <row r="4">
          <cell r="D4"/>
          <cell r="H4"/>
          <cell r="I4"/>
          <cell r="J4"/>
        </row>
        <row r="5">
          <cell r="D5"/>
          <cell r="H5"/>
          <cell r="I5"/>
          <cell r="J5"/>
        </row>
        <row r="6">
          <cell r="H6">
            <v>0</v>
          </cell>
          <cell r="I6">
            <v>0</v>
          </cell>
        </row>
      </sheetData>
      <sheetData sheetId="12" refreshError="1"/>
      <sheetData sheetId="13">
        <row r="3">
          <cell r="A3"/>
          <cell r="B3"/>
          <cell r="D3"/>
        </row>
        <row r="4">
          <cell r="D4"/>
        </row>
        <row r="5">
          <cell r="C5">
            <v>0</v>
          </cell>
        </row>
      </sheetData>
      <sheetData sheetId="14">
        <row r="3">
          <cell r="A3"/>
          <cell r="D3"/>
        </row>
        <row r="4">
          <cell r="A4"/>
        </row>
        <row r="5">
          <cell r="E5">
            <v>0</v>
          </cell>
        </row>
      </sheetData>
      <sheetData sheetId="15">
        <row r="3">
          <cell r="F3"/>
        </row>
        <row r="4">
          <cell r="F4"/>
        </row>
        <row r="5">
          <cell r="F5">
            <v>0</v>
          </cell>
        </row>
      </sheetData>
      <sheetData sheetId="16">
        <row r="4">
          <cell r="D4"/>
        </row>
        <row r="5">
          <cell r="A5"/>
          <cell r="D5"/>
        </row>
        <row r="6">
          <cell r="C6">
            <v>0</v>
          </cell>
        </row>
        <row r="10">
          <cell r="A10"/>
          <cell r="B10"/>
          <cell r="D10"/>
        </row>
        <row r="11">
          <cell r="A11"/>
          <cell r="B11"/>
          <cell r="D11"/>
        </row>
        <row r="12">
          <cell r="C12">
            <v>0</v>
          </cell>
        </row>
        <row r="13">
          <cell r="C13">
            <v>0</v>
          </cell>
        </row>
      </sheetData>
      <sheetData sheetId="17" refreshError="1"/>
      <sheetData sheetId="18">
        <row r="8">
          <cell r="C8">
            <v>0</v>
          </cell>
          <cell r="D8">
            <v>0</v>
          </cell>
          <cell r="E8">
            <v>0</v>
          </cell>
          <cell r="F8">
            <v>0</v>
          </cell>
          <cell r="G8">
            <v>0</v>
          </cell>
        </row>
      </sheetData>
      <sheetData sheetId="19">
        <row r="31">
          <cell r="C31">
            <v>0</v>
          </cell>
          <cell r="D31">
            <v>0</v>
          </cell>
          <cell r="E31">
            <v>0</v>
          </cell>
          <cell r="F31">
            <v>0</v>
          </cell>
          <cell r="G31">
            <v>0</v>
          </cell>
          <cell r="H31">
            <v>0</v>
          </cell>
        </row>
        <row r="32">
          <cell r="C32">
            <v>0</v>
          </cell>
          <cell r="D32">
            <v>0</v>
          </cell>
          <cell r="E32">
            <v>0</v>
          </cell>
          <cell r="F32">
            <v>0</v>
          </cell>
          <cell r="G32">
            <v>0</v>
          </cell>
          <cell r="H32">
            <v>0</v>
          </cell>
        </row>
        <row r="33">
          <cell r="H33">
            <v>0</v>
          </cell>
        </row>
        <row r="39">
          <cell r="H39"/>
        </row>
        <row r="40">
          <cell r="H40"/>
        </row>
        <row r="41">
          <cell r="H41"/>
        </row>
        <row r="42">
          <cell r="H42"/>
        </row>
        <row r="43">
          <cell r="H43"/>
        </row>
        <row r="44">
          <cell r="H44"/>
        </row>
        <row r="45">
          <cell r="H45"/>
        </row>
        <row r="46">
          <cell r="C46">
            <v>0</v>
          </cell>
          <cell r="D46">
            <v>0</v>
          </cell>
          <cell r="E46">
            <v>0</v>
          </cell>
          <cell r="F46">
            <v>0</v>
          </cell>
          <cell r="G46">
            <v>0</v>
          </cell>
        </row>
        <row r="50">
          <cell r="H50"/>
        </row>
        <row r="51">
          <cell r="H51"/>
        </row>
        <row r="52">
          <cell r="H52"/>
        </row>
        <row r="53">
          <cell r="H53"/>
        </row>
        <row r="54">
          <cell r="H54"/>
        </row>
        <row r="55">
          <cell r="H55"/>
        </row>
        <row r="56">
          <cell r="H56"/>
        </row>
        <row r="57">
          <cell r="C57">
            <v>0</v>
          </cell>
          <cell r="D57">
            <v>0</v>
          </cell>
          <cell r="E57">
            <v>0</v>
          </cell>
          <cell r="F57">
            <v>0</v>
          </cell>
          <cell r="G57">
            <v>0</v>
          </cell>
        </row>
        <row r="61">
          <cell r="C61">
            <v>0</v>
          </cell>
        </row>
        <row r="63">
          <cell r="C63">
            <v>0</v>
          </cell>
        </row>
        <row r="66">
          <cell r="C66">
            <v>0</v>
          </cell>
        </row>
        <row r="67">
          <cell r="C67">
            <v>0</v>
          </cell>
        </row>
        <row r="68">
          <cell r="C68">
            <v>0</v>
          </cell>
        </row>
        <row r="70">
          <cell r="C70">
            <v>0</v>
          </cell>
        </row>
        <row r="71">
          <cell r="C71">
            <v>0</v>
          </cell>
        </row>
        <row r="74">
          <cell r="C74">
            <v>0</v>
          </cell>
        </row>
        <row r="75">
          <cell r="C75">
            <v>0</v>
          </cell>
        </row>
        <row r="76">
          <cell r="C76">
            <v>0</v>
          </cell>
        </row>
        <row r="77">
          <cell r="C77">
            <v>0</v>
          </cell>
        </row>
        <row r="82">
          <cell r="C82">
            <v>0</v>
          </cell>
        </row>
      </sheetData>
      <sheetData sheetId="20">
        <row r="6">
          <cell r="C6"/>
        </row>
        <row r="8">
          <cell r="C8"/>
        </row>
      </sheetData>
      <sheetData sheetId="21" refreshError="1"/>
    </sheetDataSet>
  </externalBook>
</externalLink>
</file>

<file path=xl/externalLinks/externalLink3.xml><?xml version="1.0" encoding="utf-8"?>
<externalLink xmlns:r="http://schemas.openxmlformats.org/officeDocument/2006/relationships" xmlns="http://schemas.openxmlformats.org/spreadsheetml/2006/main">
  <externalBook r:id="rId1">
    <sheetNames>
      <sheetName val="Data"/>
      <sheetName val="Read Me"/>
      <sheetName val="Errors"/>
      <sheetName val="Validations"/>
      <sheetName val="ValidationList"/>
      <sheetName val="A_Basic_Info"/>
      <sheetName val="B_Profit_Loss_Account"/>
      <sheetName val="C_Balance_Sheet"/>
      <sheetName val="D_Stock_Detail"/>
      <sheetName val="E1_IDA_CA"/>
      <sheetName val="E2_CA_WTA_WDV_I"/>
      <sheetName val="E2_CA_WTA_SLM_II"/>
      <sheetName val="E_Summary_of_Capital_Allowance"/>
      <sheetName val="F_Computation_of_Income"/>
      <sheetName val="G_Distri_of_P_L_to_Partners"/>
      <sheetName val="H_Distri_of_WHT_Credits"/>
      <sheetName val="Sheet1"/>
      <sheetName val="D_Stock_Analysis"/>
      <sheetName val="E2_CA_WTA_WDV"/>
      <sheetName val="E2_CA_WTA_SLM"/>
    </sheetNames>
    <sheetDataSet>
      <sheetData sheetId="0">
        <row r="94">
          <cell r="A94" t="str">
            <v xml:space="preserve"> is mandatory field.</v>
          </cell>
        </row>
      </sheetData>
      <sheetData sheetId="1" refreshError="1"/>
      <sheetData sheetId="2" refreshError="1"/>
      <sheetData sheetId="3" refreshError="1"/>
      <sheetData sheetId="4" refreshError="1"/>
      <sheetData sheetId="5" refreshError="1"/>
      <sheetData sheetId="6" refreshError="1"/>
      <sheetData sheetId="7">
        <row r="85">
          <cell r="C85">
            <v>0</v>
          </cell>
        </row>
      </sheetData>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sheetData sheetId="18"/>
      <sheetData sheetId="19"/>
    </sheetDataSet>
  </externalBook>
</externalLink>
</file>

<file path=xl/externalLinks/externalLink4.xml><?xml version="1.0" encoding="utf-8"?>
<externalLink xmlns:r="http://schemas.openxmlformats.org/officeDocument/2006/relationships" xmlns="http://schemas.openxmlformats.org/spreadsheetml/2006/main">
  <externalBook r:id="rId1">
    <sheetNames>
      <sheetName val="Data"/>
      <sheetName val="Read Me"/>
      <sheetName val="Errors"/>
      <sheetName val="Validations"/>
      <sheetName val="ValidationList"/>
      <sheetName val="A_Basic_Info"/>
      <sheetName val="B_Profit_Loss_Account"/>
      <sheetName val="C_Balance_Sheet"/>
      <sheetName val="D_Stock_Detail"/>
      <sheetName val="E1_IDA_CA"/>
      <sheetName val="E2_CA_WTA_WDV_I"/>
      <sheetName val="E2_CA_WTA_SLM_II"/>
      <sheetName val="E_Summary_of_Capital_Allowance"/>
      <sheetName val="F_Computation_of_Income"/>
      <sheetName val="G_Distri_of_P_L_to_Partners"/>
      <sheetName val="H_Distri_of_WHT_Credits"/>
      <sheetName val="Sheet1"/>
      <sheetName val="D_Stock_Analysis"/>
      <sheetName val="E2_CA_WTA_WDV"/>
      <sheetName val="E2_CA_WTA_SLM"/>
    </sheetNames>
    <sheetDataSet>
      <sheetData sheetId="0">
        <row r="94">
          <cell r="A94" t="str">
            <v xml:space="preserve"> is mandatory field.</v>
          </cell>
        </row>
      </sheetData>
      <sheetData sheetId="1" refreshError="1"/>
      <sheetData sheetId="2" refreshError="1"/>
      <sheetData sheetId="3" refreshError="1"/>
      <sheetData sheetId="4" refreshError="1"/>
      <sheetData sheetId="5" refreshError="1"/>
      <sheetData sheetId="6" refreshError="1"/>
      <sheetData sheetId="7">
        <row r="85">
          <cell r="C85">
            <v>0</v>
          </cell>
        </row>
      </sheetData>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sheetData sheetId="18"/>
      <sheetData sheetId="19"/>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Relationships xmlns="http://schemas.openxmlformats.org/package/2006/relationships"><Relationship Type="http://schemas.openxmlformats.org/officeDocument/2006/relationships/comments" Target="/xl/comments/comment1.xml" Id="comments" /><Relationship Type="http://schemas.openxmlformats.org/officeDocument/2006/relationships/vmlDrawing" Target="/xl/drawings/vmlDrawing1.vml" Id="anysvml" /></Relationships>
</file>

<file path=xl/worksheets/_rels/sheet2.xml.rels><Relationships xmlns="http://schemas.openxmlformats.org/package/2006/relationships"><Relationship Type="http://schemas.openxmlformats.org/officeDocument/2006/relationships/drawing" Target="/xl/drawings/drawing1.xml" Id="rId1" /></Relationships>
</file>

<file path=xl/worksheets/_rels/sheet6.xml.rels><Relationships xmlns="http://schemas.openxmlformats.org/package/2006/relationships"><Relationship Type="http://schemas.openxmlformats.org/officeDocument/2006/relationships/drawing" Target="/xl/drawings/drawing2.xml" Id="rId1" /></Relationships>
</file>

<file path=xl/worksheets/_rels/sheet8.xml.rels><Relationships xmlns="http://schemas.openxmlformats.org/package/2006/relationships"><Relationship Type="http://schemas.openxmlformats.org/officeDocument/2006/relationships/drawing" Target="/xl/drawings/drawing3.xml" Id="rId1" /></Relationships>
</file>

<file path=xl/worksheets/_rels/sheet9.xml.rels><Relationships xmlns="http://schemas.openxmlformats.org/package/2006/relationships"><Relationship Type="http://schemas.openxmlformats.org/officeDocument/2006/relationships/drawing" Target="/xl/drawings/drawing4.xml" Id="rId1" /></Relationships>
</file>

<file path=xl/worksheets/_rels/sheet10.xml.rels><Relationships xmlns="http://schemas.openxmlformats.org/package/2006/relationships"><Relationship Type="http://schemas.openxmlformats.org/officeDocument/2006/relationships/drawing" Target="/xl/drawings/drawing5.xml" Id="rId1" /></Relationships>
</file>

<file path=xl/worksheets/_rels/sheet11.xml.rels><Relationships xmlns="http://schemas.openxmlformats.org/package/2006/relationships"><Relationship Type="http://schemas.openxmlformats.org/officeDocument/2006/relationships/drawing" Target="/xl/drawings/drawing6.xml" Id="rId1" /></Relationships>
</file>

<file path=xl/worksheets/_rels/sheet12.xml.rels><Relationships xmlns="http://schemas.openxmlformats.org/package/2006/relationships"><Relationship Type="http://schemas.openxmlformats.org/officeDocument/2006/relationships/drawing" Target="/xl/drawings/drawing7.xml" Id="rId1" /></Relationships>
</file>

<file path=xl/worksheets/_rels/sheet13.xml.rels><Relationships xmlns="http://schemas.openxmlformats.org/package/2006/relationships"><Relationship Type="http://schemas.openxmlformats.org/officeDocument/2006/relationships/drawing" Target="/xl/drawings/drawing8.xml" Id="rId1" /></Relationships>
</file>

<file path=xl/worksheets/_rels/sheet14.xml.rels><Relationships xmlns="http://schemas.openxmlformats.org/package/2006/relationships"><Relationship Type="http://schemas.openxmlformats.org/officeDocument/2006/relationships/drawing" Target="/xl/drawings/drawing9.xml" Id="rId1" /></Relationships>
</file>

<file path=xl/worksheets/_rels/sheet15.xml.rels><Relationships xmlns="http://schemas.openxmlformats.org/package/2006/relationships"><Relationship Type="http://schemas.openxmlformats.org/officeDocument/2006/relationships/drawing" Target="/xl/drawings/drawing10.xml" Id="rId1" /></Relationships>
</file>

<file path=xl/worksheets/_rels/sheet16.xml.rels><Relationships xmlns="http://schemas.openxmlformats.org/package/2006/relationships"><Relationship Type="http://schemas.openxmlformats.org/officeDocument/2006/relationships/drawing" Target="/xl/drawings/drawing11.xml" Id="rId1" /></Relationships>
</file>

<file path=xl/worksheets/_rels/sheet17.xml.rels><Relationships xmlns="http://schemas.openxmlformats.org/package/2006/relationships"><Relationship Type="http://schemas.openxmlformats.org/officeDocument/2006/relationships/drawing" Target="/xl/drawings/drawing12.xml" Id="rId1" /></Relationships>
</file>

<file path=xl/worksheets/_rels/sheet18.xml.rels><Relationships xmlns="http://schemas.openxmlformats.org/package/2006/relationships"><Relationship Type="http://schemas.openxmlformats.org/officeDocument/2006/relationships/drawing" Target="/xl/drawings/drawing13.xml" Id="rId1" /></Relationships>
</file>

<file path=xl/worksheets/_rels/sheet19.xml.rels><Relationships xmlns="http://schemas.openxmlformats.org/package/2006/relationships"><Relationship Type="http://schemas.openxmlformats.org/officeDocument/2006/relationships/drawing" Target="/xl/drawings/drawing14.xml" Id="rId1" /></Relationships>
</file>

<file path=xl/worksheets/_rels/sheet20.xml.rels><Relationships xmlns="http://schemas.openxmlformats.org/package/2006/relationships"><Relationship Type="http://schemas.openxmlformats.org/officeDocument/2006/relationships/drawing" Target="/xl/drawings/drawing15.xml" Id="rId1" /></Relationships>
</file>

<file path=xl/worksheets/_rels/sheet21.xml.rels><Relationships xmlns="http://schemas.openxmlformats.org/package/2006/relationships"><Relationship Type="http://schemas.openxmlformats.org/officeDocument/2006/relationships/drawing" Target="/xl/drawings/drawing16.xml" Id="rId1" /></Relationships>
</file>

<file path=xl/worksheets/_rels/sheet22.xml.rels><Relationships xmlns="http://schemas.openxmlformats.org/package/2006/relationships"><Relationship Type="http://schemas.openxmlformats.org/officeDocument/2006/relationships/drawing" Target="/xl/drawings/drawing17.xml" Id="rId1" /></Relationships>
</file>

<file path=xl/worksheets/_rels/sheet23.xml.rels><Relationships xmlns="http://schemas.openxmlformats.org/package/2006/relationships"><Relationship Type="http://schemas.openxmlformats.org/officeDocument/2006/relationships/drawing" Target="/xl/drawings/drawing18.xml" Id="rId1" /></Relationships>
</file>

<file path=xl/worksheets/_rels/sheet24.xml.rels><Relationships xmlns="http://schemas.openxmlformats.org/package/2006/relationships"><Relationship Type="http://schemas.openxmlformats.org/officeDocument/2006/relationships/drawing" Target="/xl/drawings/drawing19.xml" Id="rId1" /></Relationships>
</file>

<file path=xl/worksheets/_rels/sheet25.xml.rels><Relationships xmlns="http://schemas.openxmlformats.org/package/2006/relationships"><Relationship Type="http://schemas.openxmlformats.org/officeDocument/2006/relationships/drawing" Target="/xl/drawings/drawing20.xml" Id="rId1" /></Relationships>
</file>

<file path=xl/worksheets/_rels/sheet26.xml.rels><Relationships xmlns="http://schemas.openxmlformats.org/package/2006/relationships"><Relationship Type="http://schemas.openxmlformats.org/officeDocument/2006/relationships/drawing" Target="/xl/drawings/drawing21.xml" Id="rId1" /></Relationships>
</file>

<file path=xl/worksheets/_rels/sheet27.xml.rels><Relationships xmlns="http://schemas.openxmlformats.org/package/2006/relationships"><Relationship Type="http://schemas.openxmlformats.org/officeDocument/2006/relationships/drawing" Target="/xl/drawings/drawing22.xml" Id="rId1" /></Relationships>
</file>

<file path=xl/worksheets/_rels/sheet28.xml.rels><Relationships xmlns="http://schemas.openxmlformats.org/package/2006/relationships"><Relationship Type="http://schemas.openxmlformats.org/officeDocument/2006/relationships/drawing" Target="/xl/drawings/drawing23.xml" Id="rId1" /></Relationships>
</file>

<file path=xl/worksheets/_rels/sheet29.xml.rels><Relationships xmlns="http://schemas.openxmlformats.org/package/2006/relationships"><Relationship Type="http://schemas.openxmlformats.org/officeDocument/2006/relationships/drawing" Target="/xl/drawings/drawing24.xml" Id="rId1" /></Relationships>
</file>

<file path=xl/worksheets/_rels/sheet30.xml.rels><Relationships xmlns="http://schemas.openxmlformats.org/package/2006/relationships"><Relationship Type="http://schemas.openxmlformats.org/officeDocument/2006/relationships/drawing" Target="/xl/drawings/drawing25.xml" Id="rId1" /></Relationships>
</file>

<file path=xl/worksheets/_rels/sheet31.xml.rels><Relationships xmlns="http://schemas.openxmlformats.org/package/2006/relationships"><Relationship Type="http://schemas.openxmlformats.org/officeDocument/2006/relationships/drawing" Target="/xl/drawings/drawing26.xml" Id="rId1" /></Relationships>
</file>

<file path=xl/worksheets/_rels/sheet32.xml.rels><Relationships xmlns="http://schemas.openxmlformats.org/package/2006/relationships"><Relationship Type="http://schemas.openxmlformats.org/officeDocument/2006/relationships/drawing" Target="/xl/drawings/drawing27.xml" Id="rId1" /></Relationships>
</file>

<file path=xl/worksheets/_rels/sheet33.xml.rels><Relationships xmlns="http://schemas.openxmlformats.org/package/2006/relationships"><Relationship Type="http://schemas.openxmlformats.org/officeDocument/2006/relationships/drawing" Target="/xl/drawings/drawing28.xml" Id="rId1" /></Relationships>
</file>

<file path=xl/worksheets/sheet1.xml><?xml version="1.0" encoding="utf-8"?>
<worksheet xmlns:r="http://schemas.openxmlformats.org/officeDocument/2006/relationships" xmlns="http://schemas.openxmlformats.org/spreadsheetml/2006/main">
  <sheetPr codeName="Sheet18">
    <outlinePr summaryBelow="1" summaryRight="1"/>
    <pageSetUpPr/>
  </sheetPr>
  <dimension ref="A1:BB2432"/>
  <sheetViews>
    <sheetView topLeftCell="F28" zoomScale="76" zoomScaleNormal="76" workbookViewId="0">
      <selection activeCell="L30" sqref="L30:L35"/>
    </sheetView>
  </sheetViews>
  <sheetFormatPr baseColWidth="10" defaultColWidth="8.83203125" defaultRowHeight="16"/>
  <cols>
    <col width="32.33203125" customWidth="1" style="486" min="1" max="1"/>
    <col width="35.5" customWidth="1" style="486" min="2" max="2"/>
    <col width="24.5" customWidth="1" style="486" min="3" max="3"/>
    <col width="17.1640625" customWidth="1" style="486" min="4" max="4"/>
    <col width="70" bestFit="1" customWidth="1" style="486" min="5" max="5"/>
    <col width="41.33203125" customWidth="1" style="486" min="6" max="6"/>
    <col width="29.1640625" customWidth="1" style="486" min="7" max="7"/>
    <col width="17.1640625" customWidth="1" style="486" min="8" max="8"/>
    <col width="28.5" customWidth="1" style="486" min="9" max="9"/>
    <col width="20.5" customWidth="1" style="486" min="10" max="10"/>
    <col width="31.33203125" customWidth="1" style="486" min="11" max="11"/>
    <col width="13" customWidth="1" style="1" min="13" max="14"/>
    <col width="11.83203125" customWidth="1" style="1" min="15" max="15"/>
    <col width="16.6640625" bestFit="1" customWidth="1" style="1" min="16" max="16"/>
    <col width="19.5" bestFit="1" customWidth="1" style="486" min="18" max="18"/>
    <col width="9.33203125" customWidth="1" style="486" min="22" max="22"/>
    <col width="13.83203125" customWidth="1" style="486" min="27" max="27"/>
    <col width="24.5" bestFit="1" customWidth="1" style="486" min="28" max="28"/>
    <col width="10.6640625" bestFit="1" customWidth="1" style="486" min="31" max="31"/>
    <col width="9.1640625" customWidth="1" style="1" min="44" max="44"/>
    <col width="34.5" customWidth="1" style="1" min="45" max="45"/>
    <col width="9.1640625" customWidth="1" style="1" min="46" max="47"/>
    <col width="35" customWidth="1" style="1" min="48" max="48"/>
    <col width="25.33203125" customWidth="1" style="1" min="49" max="49"/>
    <col width="24.1640625" customWidth="1" style="486" min="51" max="51"/>
    <col width="22.83203125" customWidth="1" style="486" min="52" max="52"/>
    <col width="25.5" customWidth="1" style="486" min="53" max="53"/>
    <col width="15.5" customWidth="1" style="486" min="54" max="54"/>
  </cols>
  <sheetData>
    <row r="1" ht="15" customHeight="1" s="486">
      <c r="A1" t="inlineStr">
        <is>
          <t>employment</t>
        </is>
      </c>
      <c r="C1" t="inlineStr">
        <is>
          <t>natureOfIncome</t>
        </is>
      </c>
      <c r="D1" t="inlineStr">
        <is>
          <t>Code for natureOfIncome</t>
        </is>
      </c>
      <c r="E1" s="2" t="n"/>
      <c r="F1" s="2" t="n"/>
      <c r="G1" s="2" t="inlineStr">
        <is>
          <t>ListNames</t>
        </is>
      </c>
      <c r="H1" s="2" t="inlineStr">
        <is>
          <t>LookUpCodes</t>
        </is>
      </c>
      <c r="I1" s="2" t="inlineStr">
        <is>
          <t>ItemListCapAllow</t>
        </is>
      </c>
      <c r="J1" s="2" t="inlineStr">
        <is>
          <t>ItemCodeCapAllow</t>
        </is>
      </c>
      <c r="K1" s="2" t="inlineStr">
        <is>
          <t>Location</t>
        </is>
      </c>
      <c r="L1" s="2" t="inlineStr">
        <is>
          <t>LocationCode</t>
        </is>
      </c>
      <c r="M1" s="3" t="inlineStr">
        <is>
          <t>PostalCode</t>
        </is>
      </c>
      <c r="N1" t="inlineStr">
        <is>
          <t>Town/PostalName</t>
        </is>
      </c>
      <c r="O1" t="inlineStr">
        <is>
          <t>County_id</t>
        </is>
      </c>
      <c r="P1" t="inlineStr">
        <is>
          <t>County_Name</t>
        </is>
      </c>
      <c r="R1" s="2" t="inlineStr">
        <is>
          <t>PostalCodes(Sorted)</t>
        </is>
      </c>
      <c r="T1" s="2" t="inlineStr">
        <is>
          <t>rentType</t>
        </is>
      </c>
      <c r="U1" s="2" t="inlineStr">
        <is>
          <t>rentTypeCode</t>
        </is>
      </c>
      <c r="V1" s="2" t="inlineStr">
        <is>
          <t>sourceOfIncome</t>
        </is>
      </c>
      <c r="W1" s="2" t="inlineStr">
        <is>
          <t>sourceOfIncomeCode</t>
        </is>
      </c>
      <c r="AA1" s="2" t="inlineStr">
        <is>
          <t>District_id</t>
        </is>
      </c>
      <c r="AB1" s="2" t="inlineStr">
        <is>
          <t>District_name</t>
        </is>
      </c>
      <c r="AC1" s="2" t="inlineStr">
        <is>
          <t>County _id</t>
        </is>
      </c>
      <c r="AD1" s="2" t="n"/>
      <c r="AE1" s="2" t="inlineStr">
        <is>
          <t>Tax Area Id</t>
        </is>
      </c>
      <c r="AF1" s="2" t="inlineStr">
        <is>
          <t>Tax Area</t>
        </is>
      </c>
      <c r="AG1" s="2" t="inlineStr">
        <is>
          <t>District Id</t>
        </is>
      </c>
      <c r="AR1" s="2" t="inlineStr">
        <is>
          <t>Bank Id</t>
        </is>
      </c>
      <c r="AS1" s="2" t="inlineStr">
        <is>
          <t>Bank Name</t>
        </is>
      </c>
      <c r="AT1" s="2" t="inlineStr">
        <is>
          <t>Bank Branch Range Names</t>
        </is>
      </c>
      <c r="AU1" s="2" t="inlineStr">
        <is>
          <t>Branch Id</t>
        </is>
      </c>
      <c r="AV1" s="2" t="inlineStr">
        <is>
          <t>Branch Name</t>
        </is>
      </c>
      <c r="AW1" s="2" t="inlineStr">
        <is>
          <t>Bank - Branch mapping Id</t>
        </is>
      </c>
      <c r="AY1" s="2" t="inlineStr">
        <is>
          <t>selectedBranchNames</t>
        </is>
      </c>
      <c r="AZ1" s="2" t="n"/>
      <c r="BA1" s="2" t="inlineStr">
        <is>
          <t>Country Name</t>
        </is>
      </c>
      <c r="BB1" s="2" t="inlineStr">
        <is>
          <t>Country Id</t>
        </is>
      </c>
    </row>
    <row r="2" ht="64" customHeight="1" s="486">
      <c r="A2" t="inlineStr">
        <is>
          <t>Employee</t>
        </is>
      </c>
      <c r="C2" t="inlineStr">
        <is>
          <t>Rental</t>
        </is>
      </c>
      <c r="D2" t="inlineStr">
        <is>
          <t>RENTAL</t>
        </is>
      </c>
      <c r="G2" t="inlineStr">
        <is>
          <t xml:space="preserve">PLA.OtherExpensesListS </t>
        </is>
      </c>
      <c r="H2" t="inlineStr">
        <is>
          <t>OrExpS</t>
        </is>
      </c>
      <c r="I2" t="inlineStr">
        <is>
          <t>All other including ships</t>
        </is>
      </c>
      <c r="J2" t="inlineStr">
        <is>
          <t>CLASSD</t>
        </is>
      </c>
      <c r="K2" s="581" t="inlineStr">
        <is>
          <t>Outside City of Nairobi, Municipalities of Mombasa and Kisumu with investment cost equals to or more than Kshs 200 million (150%)</t>
        </is>
      </c>
      <c r="L2" t="inlineStr">
        <is>
          <t>LC3</t>
        </is>
      </c>
      <c r="M2" s="3" t="n">
        <v>50413</v>
      </c>
      <c r="N2" t="inlineStr">
        <is>
          <t>ADUNGOSI</t>
        </is>
      </c>
      <c r="O2" t="n">
        <v>1</v>
      </c>
      <c r="P2" t="inlineStr">
        <is>
          <t>Baringo</t>
        </is>
      </c>
      <c r="Q2" t="inlineStr">
        <is>
          <t>District1</t>
        </is>
      </c>
      <c r="R2" s="3" t="inlineStr">
        <is>
          <t>00100</t>
        </is>
      </c>
      <c r="T2" t="inlineStr">
        <is>
          <t>For Employee</t>
        </is>
      </c>
      <c r="U2" t="inlineStr">
        <is>
          <t>employee</t>
        </is>
      </c>
      <c r="V2" t="inlineStr">
        <is>
          <t>Business</t>
        </is>
      </c>
      <c r="W2" t="inlineStr">
        <is>
          <t>Buss</t>
        </is>
      </c>
      <c r="X2" s="195" t="n">
        <v>0</v>
      </c>
      <c r="Z2">
        <f>CONCATENATE("Local",AA2)</f>
        <v/>
      </c>
      <c r="AA2" s="323" t="n">
        <v>139</v>
      </c>
      <c r="AB2" s="323" t="inlineStr">
        <is>
          <t>Baringo Central District</t>
        </is>
      </c>
      <c r="AC2" s="323" t="n">
        <v>1</v>
      </c>
      <c r="AE2" s="324" t="n">
        <v>91</v>
      </c>
      <c r="AF2" s="324" t="inlineStr">
        <is>
          <t>Gakoe</t>
        </is>
      </c>
      <c r="AG2" s="324" t="n">
        <v>1</v>
      </c>
      <c r="AR2" t="n">
        <v>341</v>
      </c>
      <c r="AS2" t="inlineStr">
        <is>
          <t>ABHYUDAYA NATIONAL BANK</t>
        </is>
      </c>
      <c r="AT2" t="inlineStr">
        <is>
          <t>BANK341</t>
        </is>
      </c>
      <c r="AU2" t="n">
        <v>837</v>
      </c>
      <c r="AV2" t="inlineStr">
        <is>
          <t>AAAAA</t>
        </is>
      </c>
      <c r="AW2" t="n">
        <v>341</v>
      </c>
      <c r="AX2" s="4" t="n"/>
      <c r="AY2" t="inlineStr">
        <is>
          <t>AAAAA</t>
        </is>
      </c>
      <c r="AZ2" s="305" t="n"/>
      <c r="BA2" s="305" t="inlineStr">
        <is>
          <t>AFGHANISTAN</t>
        </is>
      </c>
      <c r="BB2" s="306" t="n">
        <v>1</v>
      </c>
    </row>
    <row r="3" ht="64" customHeight="1" s="486">
      <c r="A3" t="inlineStr">
        <is>
          <t>Director</t>
        </is>
      </c>
      <c r="C3" t="inlineStr">
        <is>
          <t>Business</t>
        </is>
      </c>
      <c r="D3" t="inlineStr">
        <is>
          <t>BUSS</t>
        </is>
      </c>
      <c r="G3" t="inlineStr">
        <is>
          <t>PLA.OtherExpensesListW</t>
        </is>
      </c>
      <c r="H3" t="inlineStr">
        <is>
          <t>OrExpW</t>
        </is>
      </c>
      <c r="I3" t="inlineStr">
        <is>
          <t>Computers….</t>
        </is>
      </c>
      <c r="J3" t="inlineStr">
        <is>
          <t>CLASSB</t>
        </is>
      </c>
      <c r="K3" s="581" t="inlineStr">
        <is>
          <t>Outside City of Nairobi, Municipalities of Mombasa and Kisumu with investment cost Less than Kshs 200 million (100%)</t>
        </is>
      </c>
      <c r="L3" t="inlineStr">
        <is>
          <t>LC4</t>
        </is>
      </c>
      <c r="M3" s="3" t="n">
        <v>40406</v>
      </c>
      <c r="N3" t="inlineStr">
        <is>
          <t>AGENGA</t>
        </is>
      </c>
      <c r="O3" t="n">
        <v>2</v>
      </c>
      <c r="P3" t="inlineStr">
        <is>
          <t>Bomet</t>
        </is>
      </c>
      <c r="Q3" t="inlineStr">
        <is>
          <t>District2</t>
        </is>
      </c>
      <c r="R3" s="3" t="inlineStr">
        <is>
          <t>00101</t>
        </is>
      </c>
      <c r="T3" t="inlineStr">
        <is>
          <t>For Premises</t>
        </is>
      </c>
      <c r="U3" t="inlineStr">
        <is>
          <t>premises</t>
        </is>
      </c>
      <c r="V3" t="inlineStr">
        <is>
          <t>Commission</t>
        </is>
      </c>
      <c r="W3" t="inlineStr">
        <is>
          <t>Comm</t>
        </is>
      </c>
      <c r="Z3">
        <f>CONCATENATE("Local",AA3)</f>
        <v/>
      </c>
      <c r="AA3" s="323" t="n">
        <v>140</v>
      </c>
      <c r="AB3" s="323" t="inlineStr">
        <is>
          <t>Baringo North District</t>
        </is>
      </c>
      <c r="AC3" s="323" t="n">
        <v>1</v>
      </c>
      <c r="AE3" s="324" t="n">
        <v>100</v>
      </c>
      <c r="AF3" s="324" t="inlineStr">
        <is>
          <t>Gatukuyu</t>
        </is>
      </c>
      <c r="AG3" s="324" t="n">
        <v>1</v>
      </c>
      <c r="AR3" t="n">
        <v>35</v>
      </c>
      <c r="AS3" t="inlineStr">
        <is>
          <t>AFRICAN BANKING CORPORATION LIMITED</t>
        </is>
      </c>
      <c r="AT3" t="inlineStr">
        <is>
          <t>BANK35</t>
        </is>
      </c>
      <c r="AU3" t="n">
        <v>819</v>
      </c>
      <c r="AV3" t="inlineStr">
        <is>
          <t>BRANCH OF KENYA</t>
        </is>
      </c>
      <c r="AW3" t="n">
        <v>35</v>
      </c>
      <c r="AX3" s="4" t="n"/>
      <c r="AZ3" s="305" t="n"/>
      <c r="BA3" s="305" t="inlineStr">
        <is>
          <t>ALBANIA</t>
        </is>
      </c>
      <c r="BB3" s="306" t="n">
        <v>2</v>
      </c>
    </row>
    <row r="4" ht="32" customHeight="1" s="486">
      <c r="C4" t="inlineStr">
        <is>
          <t>Interest</t>
        </is>
      </c>
      <c r="D4" t="inlineStr">
        <is>
          <t>INT</t>
        </is>
      </c>
      <c r="G4" t="inlineStr">
        <is>
          <t>BusProfIncome.OtherNonAllowExpensesListS</t>
        </is>
      </c>
      <c r="H4" t="inlineStr">
        <is>
          <t>BpINAES</t>
        </is>
      </c>
      <c r="I4" t="inlineStr">
        <is>
          <t>Other self propelling vehicles</t>
        </is>
      </c>
      <c r="J4" t="inlineStr">
        <is>
          <t>CLASSC</t>
        </is>
      </c>
      <c r="K4" s="581" t="inlineStr">
        <is>
          <t>Outside the Municipalities of Nairobi and Mombasa (100%)</t>
        </is>
      </c>
      <c r="L4" t="inlineStr">
        <is>
          <t>LC1</t>
        </is>
      </c>
      <c r="M4" s="3" t="n">
        <v>40101</v>
      </c>
      <c r="N4" t="inlineStr">
        <is>
          <t>AHERO</t>
        </is>
      </c>
      <c r="O4" t="n">
        <v>3</v>
      </c>
      <c r="P4" t="inlineStr">
        <is>
          <t>Bungoma</t>
        </is>
      </c>
      <c r="Q4" t="inlineStr">
        <is>
          <t>District3</t>
        </is>
      </c>
      <c r="R4" s="3" t="inlineStr">
        <is>
          <t>00200</t>
        </is>
      </c>
      <c r="V4" t="inlineStr">
        <is>
          <t>Farming</t>
        </is>
      </c>
      <c r="W4" t="inlineStr">
        <is>
          <t>Farm</t>
        </is>
      </c>
      <c r="Z4">
        <f>CONCATENATE("Local",AA4)</f>
        <v/>
      </c>
      <c r="AA4" s="323" t="n">
        <v>141</v>
      </c>
      <c r="AB4" s="323" t="inlineStr">
        <is>
          <t>East Pokot District</t>
        </is>
      </c>
      <c r="AC4" s="323" t="n">
        <v>1</v>
      </c>
      <c r="AE4" s="324" t="n">
        <v>158</v>
      </c>
      <c r="AF4" s="324" t="inlineStr">
        <is>
          <t>Kamwangi</t>
        </is>
      </c>
      <c r="AG4" s="324" t="n">
        <v>1</v>
      </c>
      <c r="AR4" t="n">
        <v>343</v>
      </c>
      <c r="AS4" t="inlineStr">
        <is>
          <t>AFRICAN NATIONAL BANK</t>
        </is>
      </c>
      <c r="AT4" t="inlineStr">
        <is>
          <t>BANK43</t>
        </is>
      </c>
      <c r="AU4" t="n">
        <v>359</v>
      </c>
      <c r="AV4" t="inlineStr">
        <is>
          <t>ELDORET BRANCH</t>
        </is>
      </c>
      <c r="AW4" t="n">
        <v>35</v>
      </c>
      <c r="AX4" s="4" t="n"/>
      <c r="AZ4" s="305" t="n"/>
      <c r="BA4" s="305" t="inlineStr">
        <is>
          <t>ALGERIA</t>
        </is>
      </c>
      <c r="BB4" s="306" t="n">
        <v>3</v>
      </c>
    </row>
    <row r="5" ht="32" customHeight="1" s="486">
      <c r="A5" t="inlineStr">
        <is>
          <t>Business</t>
        </is>
      </c>
      <c r="C5" t="inlineStr">
        <is>
          <t>Commission</t>
        </is>
      </c>
      <c r="D5" t="inlineStr">
        <is>
          <t>COMM</t>
        </is>
      </c>
      <c r="G5" t="inlineStr">
        <is>
          <t>BusProfIncome.OtherNonAllowExpensesListW</t>
        </is>
      </c>
      <c r="H5" t="inlineStr">
        <is>
          <t>BpINAEW</t>
        </is>
      </c>
      <c r="I5" t="inlineStr">
        <is>
          <t>Tractors, Combine Harvestors, etc</t>
        </is>
      </c>
      <c r="J5" t="inlineStr">
        <is>
          <t>CLASSA</t>
        </is>
      </c>
      <c r="K5" s="581" t="inlineStr">
        <is>
          <t>Within Municipality of Nairobi or Mombasa (100%)</t>
        </is>
      </c>
      <c r="L5" t="inlineStr">
        <is>
          <t>LC2</t>
        </is>
      </c>
      <c r="M5" s="3" t="n">
        <v>30101</v>
      </c>
      <c r="N5" t="inlineStr">
        <is>
          <t>AINABKOI</t>
        </is>
      </c>
      <c r="O5" t="n">
        <v>4</v>
      </c>
      <c r="P5" t="inlineStr">
        <is>
          <t>Busia</t>
        </is>
      </c>
      <c r="Q5" t="inlineStr">
        <is>
          <t>District4</t>
        </is>
      </c>
      <c r="R5" s="3" t="inlineStr">
        <is>
          <t>00201</t>
        </is>
      </c>
      <c r="V5" t="inlineStr">
        <is>
          <t>Interest</t>
        </is>
      </c>
      <c r="W5" t="inlineStr">
        <is>
          <t>Int</t>
        </is>
      </c>
      <c r="Z5">
        <f>CONCATENATE("Local",AA5)</f>
        <v/>
      </c>
      <c r="AA5" s="323" t="n">
        <v>142</v>
      </c>
      <c r="AB5" s="323" t="inlineStr">
        <is>
          <t>Koibatek District</t>
        </is>
      </c>
      <c r="AC5" s="323" t="n">
        <v>1</v>
      </c>
      <c r="AE5" s="324" t="n">
        <v>216</v>
      </c>
      <c r="AF5" s="324" t="inlineStr">
        <is>
          <t>Kiganjo</t>
        </is>
      </c>
      <c r="AG5" s="324" t="n">
        <v>1</v>
      </c>
      <c r="AR5" t="n">
        <v>502</v>
      </c>
      <c r="AS5" t="inlineStr">
        <is>
          <t>AXIS Bank</t>
        </is>
      </c>
      <c r="AT5" t="inlineStr">
        <is>
          <t>BANK386</t>
        </is>
      </c>
      <c r="AU5" t="n">
        <v>354</v>
      </c>
      <c r="AV5" t="inlineStr">
        <is>
          <t>HEAD OFFICE</t>
        </is>
      </c>
      <c r="AW5" t="n">
        <v>35</v>
      </c>
      <c r="AX5" s="4" t="n"/>
      <c r="AZ5" s="305" t="n"/>
      <c r="BA5" s="305" t="inlineStr">
        <is>
          <t>ANDORRA</t>
        </is>
      </c>
      <c r="BB5" s="306" t="n">
        <v>4</v>
      </c>
    </row>
    <row r="6">
      <c r="A6" t="inlineStr">
        <is>
          <t>Farming</t>
        </is>
      </c>
      <c r="C6" t="inlineStr">
        <is>
          <t>Farming</t>
        </is>
      </c>
      <c r="D6" t="inlineStr">
        <is>
          <t>FARM</t>
        </is>
      </c>
      <c r="G6" t="inlineStr">
        <is>
          <t>BusProfIncome.OtherAllowExpensesListW</t>
        </is>
      </c>
      <c r="H6" t="inlineStr">
        <is>
          <t>BpIAEW</t>
        </is>
      </c>
      <c r="M6" s="3" t="n">
        <v>40114</v>
      </c>
      <c r="N6" t="inlineStr">
        <is>
          <t>AKADO</t>
        </is>
      </c>
      <c r="O6" t="n">
        <v>5</v>
      </c>
      <c r="P6" t="inlineStr">
        <is>
          <t>Elgeyo/Marakwet</t>
        </is>
      </c>
      <c r="Q6" t="inlineStr">
        <is>
          <t>District5</t>
        </is>
      </c>
      <c r="R6" s="3" t="inlineStr">
        <is>
          <t>00202</t>
        </is>
      </c>
      <c r="V6" t="inlineStr">
        <is>
          <t>Other</t>
        </is>
      </c>
      <c r="W6" t="inlineStr">
        <is>
          <t>Oth</t>
        </is>
      </c>
      <c r="Z6">
        <f>CONCATENATE("Local",AA6)</f>
        <v/>
      </c>
      <c r="AA6" s="323" t="n">
        <v>143</v>
      </c>
      <c r="AB6" s="323" t="inlineStr">
        <is>
          <t>Marigat District</t>
        </is>
      </c>
      <c r="AC6" s="323" t="n">
        <v>1</v>
      </c>
      <c r="AE6" s="324" t="n">
        <v>383</v>
      </c>
      <c r="AF6" s="324" t="inlineStr">
        <is>
          <t>Mutomo</t>
        </is>
      </c>
      <c r="AG6" s="324" t="n">
        <v>1</v>
      </c>
      <c r="AR6" t="n">
        <v>43</v>
      </c>
      <c r="AS6" t="inlineStr">
        <is>
          <t>Akiba Bank</t>
        </is>
      </c>
      <c r="AT6" s="1" t="inlineStr">
        <is>
          <t>blank</t>
        </is>
      </c>
      <c r="AU6" t="n">
        <v>356</v>
      </c>
      <c r="AV6" t="inlineStr">
        <is>
          <t>INDUSTRIAL AREA BRANCH</t>
        </is>
      </c>
      <c r="AW6" t="n">
        <v>35</v>
      </c>
      <c r="AX6" s="4" t="n"/>
      <c r="AZ6" s="305" t="n"/>
      <c r="BA6" s="305" t="inlineStr">
        <is>
          <t>ANGOLA</t>
        </is>
      </c>
      <c r="BB6" s="306" t="n">
        <v>5</v>
      </c>
    </row>
    <row r="7">
      <c r="A7" t="inlineStr">
        <is>
          <t>Rental</t>
        </is>
      </c>
      <c r="C7" t="inlineStr">
        <is>
          <t>Other</t>
        </is>
      </c>
      <c r="D7" t="inlineStr">
        <is>
          <t>OTHER</t>
        </is>
      </c>
      <c r="G7" t="inlineStr">
        <is>
          <t>BusProfIncome.OtherAllowExpensesListS</t>
        </is>
      </c>
      <c r="H7" t="inlineStr">
        <is>
          <t>BpIAES</t>
        </is>
      </c>
      <c r="M7" s="3" t="n">
        <v>40139</v>
      </c>
      <c r="N7" t="inlineStr">
        <is>
          <t>AKALA</t>
        </is>
      </c>
      <c r="O7" t="n">
        <v>6</v>
      </c>
      <c r="P7" t="inlineStr">
        <is>
          <t>Embu</t>
        </is>
      </c>
      <c r="Q7" t="inlineStr">
        <is>
          <t>District6</t>
        </is>
      </c>
      <c r="R7" s="3" t="inlineStr">
        <is>
          <t>00203</t>
        </is>
      </c>
      <c r="V7" t="inlineStr">
        <is>
          <t>Rental</t>
        </is>
      </c>
      <c r="W7" t="inlineStr">
        <is>
          <t>Rent</t>
        </is>
      </c>
      <c r="Z7">
        <f>CONCATENATE("Local",AA7)</f>
        <v/>
      </c>
      <c r="AA7" s="323" t="n">
        <v>144</v>
      </c>
      <c r="AB7" s="323" t="inlineStr">
        <is>
          <t>Mogotio District</t>
        </is>
      </c>
      <c r="AC7" s="323" t="n">
        <v>1</v>
      </c>
      <c r="AE7" s="324" t="n">
        <v>511</v>
      </c>
      <c r="AF7" s="324" t="inlineStr">
        <is>
          <t>Wamwangi</t>
        </is>
      </c>
      <c r="AG7" s="324" t="n">
        <v>1</v>
      </c>
      <c r="AR7" t="n">
        <v>386</v>
      </c>
      <c r="AS7" t="inlineStr">
        <is>
          <t>Atest</t>
        </is>
      </c>
      <c r="AT7" s="1" t="inlineStr">
        <is>
          <t>blank</t>
        </is>
      </c>
      <c r="AU7" t="n">
        <v>358</v>
      </c>
      <c r="AV7" t="inlineStr">
        <is>
          <t>KISUMU BRANCH</t>
        </is>
      </c>
      <c r="AW7" t="n">
        <v>35</v>
      </c>
      <c r="AX7" s="4" t="n"/>
      <c r="AZ7" s="305" t="n"/>
      <c r="BA7" s="305" t="inlineStr">
        <is>
          <t>ANTIGUA AND BARBUDA</t>
        </is>
      </c>
      <c r="BB7" s="306" t="n">
        <v>6</v>
      </c>
    </row>
    <row r="8">
      <c r="A8" t="inlineStr">
        <is>
          <t>Interest</t>
        </is>
      </c>
      <c r="G8" t="inlineStr">
        <is>
          <t>FarmIncome.OtherNonAllowExpensesListS</t>
        </is>
      </c>
      <c r="H8" t="inlineStr">
        <is>
          <t>FrmINAES</t>
        </is>
      </c>
      <c r="K8" s="449" t="inlineStr">
        <is>
          <t>Location2020</t>
        </is>
      </c>
      <c r="L8" s="448" t="inlineStr">
        <is>
          <t>LocationCode2020</t>
        </is>
      </c>
      <c r="M8" s="3" t="n">
        <v>40140</v>
      </c>
      <c r="N8" t="inlineStr">
        <is>
          <t>ALUOR</t>
        </is>
      </c>
      <c r="O8" t="n">
        <v>7</v>
      </c>
      <c r="P8" t="inlineStr">
        <is>
          <t>Garissa</t>
        </is>
      </c>
      <c r="Q8" t="inlineStr">
        <is>
          <t>District7</t>
        </is>
      </c>
      <c r="R8" s="3" t="inlineStr">
        <is>
          <t>00204</t>
        </is>
      </c>
      <c r="Z8">
        <f>CONCATENATE("Local",AA8)</f>
        <v/>
      </c>
      <c r="AA8" s="323" t="n">
        <v>145</v>
      </c>
      <c r="AB8" s="323" t="inlineStr">
        <is>
          <t>Bomet District</t>
        </is>
      </c>
      <c r="AC8" s="323" t="n">
        <v>2</v>
      </c>
      <c r="AE8" s="324" t="n">
        <v>112</v>
      </c>
      <c r="AF8" s="324" t="inlineStr">
        <is>
          <t>Githunguri</t>
        </is>
      </c>
      <c r="AG8" s="324" t="n">
        <v>2</v>
      </c>
      <c r="AR8" t="n">
        <v>404</v>
      </c>
      <c r="AS8" t="inlineStr">
        <is>
          <t>Avdsf</t>
        </is>
      </c>
      <c r="AT8" s="1" t="inlineStr">
        <is>
          <t>blank</t>
        </is>
      </c>
      <c r="AU8" t="n">
        <v>361</v>
      </c>
      <c r="AV8" t="inlineStr">
        <is>
          <t>LIBRA HOUSE</t>
        </is>
      </c>
      <c r="AW8" t="n">
        <v>35</v>
      </c>
      <c r="AX8" s="4" t="n"/>
      <c r="AZ8" s="305" t="n"/>
      <c r="BA8" s="305" t="inlineStr">
        <is>
          <t>ARGENTINA</t>
        </is>
      </c>
      <c r="BB8" s="306" t="n">
        <v>7</v>
      </c>
    </row>
    <row r="9">
      <c r="A9" t="inlineStr">
        <is>
          <t>Commission</t>
        </is>
      </c>
      <c r="C9" t="inlineStr">
        <is>
          <t>Usage</t>
        </is>
      </c>
      <c r="D9" t="inlineStr">
        <is>
          <t>Code for Usage</t>
        </is>
      </c>
      <c r="E9" s="386" t="inlineStr">
        <is>
          <t>UsageSorted</t>
        </is>
      </c>
      <c r="F9" s="386" t="inlineStr">
        <is>
          <t>UsageCodeSorted</t>
        </is>
      </c>
      <c r="G9" t="inlineStr">
        <is>
          <t>FarmIncome.OtherNonAllowExpensesListW</t>
        </is>
      </c>
      <c r="H9" t="inlineStr">
        <is>
          <t>FrmINAEW</t>
        </is>
      </c>
      <c r="K9" s="450" t="inlineStr">
        <is>
          <t xml:space="preserve">Other(Less than 50%) </t>
        </is>
      </c>
      <c r="L9" s="451" t="inlineStr">
        <is>
          <t>LC6</t>
        </is>
      </c>
      <c r="M9" s="3" t="n">
        <v>50414</v>
      </c>
      <c r="N9" t="inlineStr">
        <is>
          <t>ALUPE</t>
        </is>
      </c>
      <c r="O9" t="n">
        <v>8</v>
      </c>
      <c r="P9" t="inlineStr">
        <is>
          <t>Homa Bay</t>
        </is>
      </c>
      <c r="Q9" t="inlineStr">
        <is>
          <t>District8</t>
        </is>
      </c>
      <c r="R9" s="3" t="inlineStr">
        <is>
          <t>00205</t>
        </is>
      </c>
      <c r="Z9">
        <f>CONCATENATE("Local",AA9)</f>
        <v/>
      </c>
      <c r="AA9" s="323" t="n">
        <v>146</v>
      </c>
      <c r="AB9" s="323" t="inlineStr">
        <is>
          <t>Buret District</t>
        </is>
      </c>
      <c r="AC9" s="323" t="n">
        <v>2</v>
      </c>
      <c r="AE9" s="324" t="n">
        <v>142</v>
      </c>
      <c r="AF9" s="324" t="inlineStr">
        <is>
          <t>Kagwe</t>
        </is>
      </c>
      <c r="AG9" s="324" t="n">
        <v>2</v>
      </c>
      <c r="AR9" t="n">
        <v>19</v>
      </c>
      <c r="AS9" t="inlineStr">
        <is>
          <t>Bank Of Africa (K) Limited</t>
        </is>
      </c>
      <c r="AT9" t="inlineStr">
        <is>
          <t>BANK19</t>
        </is>
      </c>
      <c r="AU9" t="n">
        <v>360</v>
      </c>
      <c r="AV9" t="inlineStr">
        <is>
          <t>MERU BRANCH</t>
        </is>
      </c>
      <c r="AW9" t="n">
        <v>35</v>
      </c>
      <c r="AX9" s="4" t="n"/>
      <c r="AZ9" s="305" t="n"/>
      <c r="BA9" s="305" t="inlineStr">
        <is>
          <t>ARMENIA</t>
        </is>
      </c>
      <c r="BB9" s="306" t="n">
        <v>8</v>
      </c>
    </row>
    <row r="10" ht="15" customHeight="1" s="486">
      <c r="A10" t="inlineStr">
        <is>
          <t>Other</t>
        </is>
      </c>
      <c r="C10" t="inlineStr">
        <is>
          <t>Van, Pick-ups, Trucks, Lorries</t>
        </is>
      </c>
      <c r="D10" t="inlineStr">
        <is>
          <t>VAN</t>
        </is>
      </c>
      <c r="E10" s="385" t="inlineStr">
        <is>
          <t>Saloons, Station-Wagons, Minibuses, Buses, Coaches</t>
        </is>
      </c>
      <c r="F10" s="385" t="inlineStr">
        <is>
          <t>SALOON</t>
        </is>
      </c>
      <c r="G10" t="inlineStr">
        <is>
          <t>FarmIncome.OtherAllowExpensesListS</t>
        </is>
      </c>
      <c r="H10" t="inlineStr">
        <is>
          <t>FrmIAES</t>
        </is>
      </c>
      <c r="M10" s="3" t="n">
        <v>50244</v>
      </c>
      <c r="N10" t="inlineStr">
        <is>
          <t>AMAGORO</t>
        </is>
      </c>
      <c r="O10" t="n">
        <v>9</v>
      </c>
      <c r="P10" t="inlineStr">
        <is>
          <t>Isiolo</t>
        </is>
      </c>
      <c r="Q10" t="inlineStr">
        <is>
          <t>District9</t>
        </is>
      </c>
      <c r="R10" s="3" t="inlineStr">
        <is>
          <t>00206</t>
        </is>
      </c>
      <c r="Z10">
        <f>CONCATENATE("Local",AA10)</f>
        <v/>
      </c>
      <c r="AA10" s="323" t="n">
        <v>147</v>
      </c>
      <c r="AB10" s="323" t="inlineStr">
        <is>
          <t>Sotik District</t>
        </is>
      </c>
      <c r="AC10" s="323" t="n">
        <v>2</v>
      </c>
      <c r="AE10" s="324" t="n">
        <v>258</v>
      </c>
      <c r="AF10" s="324" t="inlineStr">
        <is>
          <t>Kwamaiko</t>
        </is>
      </c>
      <c r="AG10" s="324" t="n">
        <v>2</v>
      </c>
      <c r="AR10" t="n">
        <v>6</v>
      </c>
      <c r="AS10" t="inlineStr">
        <is>
          <t>Bank Of Baroda</t>
        </is>
      </c>
      <c r="AT10" t="inlineStr">
        <is>
          <t>BANK6</t>
        </is>
      </c>
      <c r="AU10" t="n">
        <v>362</v>
      </c>
      <c r="AV10" t="inlineStr">
        <is>
          <t>NAKURU</t>
        </is>
      </c>
      <c r="AW10" t="n">
        <v>35</v>
      </c>
      <c r="AX10" s="4" t="n"/>
      <c r="AZ10" s="305" t="n"/>
      <c r="BA10" s="305" t="inlineStr">
        <is>
          <t>AUSTRALIA</t>
        </is>
      </c>
      <c r="BB10" s="306" t="n">
        <v>9</v>
      </c>
    </row>
    <row r="11" ht="32" customHeight="1" s="486">
      <c r="C11" s="581" t="inlineStr">
        <is>
          <t>Saloons, Station-Wagons, Minibuses, Buses, Coaches</t>
        </is>
      </c>
      <c r="D11" t="inlineStr">
        <is>
          <t>SALOON</t>
        </is>
      </c>
      <c r="E11" s="385" t="inlineStr">
        <is>
          <t>Van, Pick-ups, Trucks, Lorries</t>
        </is>
      </c>
      <c r="F11" s="385" t="inlineStr">
        <is>
          <t>VAN</t>
        </is>
      </c>
      <c r="G11" s="581" t="inlineStr">
        <is>
          <t>FarmIncome.OtherAllowExpensesListW</t>
        </is>
      </c>
      <c r="H11" t="inlineStr">
        <is>
          <t>FrmIAEW</t>
        </is>
      </c>
      <c r="M11" s="3" t="n">
        <v>50403</v>
      </c>
      <c r="N11" t="inlineStr">
        <is>
          <t>AMUKURA</t>
        </is>
      </c>
      <c r="O11" t="n">
        <v>10</v>
      </c>
      <c r="P11" t="inlineStr">
        <is>
          <t>Kajiado</t>
        </is>
      </c>
      <c r="Q11" t="inlineStr">
        <is>
          <t>District10</t>
        </is>
      </c>
      <c r="R11" s="3" t="inlineStr">
        <is>
          <t>00207</t>
        </is>
      </c>
      <c r="Z11">
        <f>CONCATENATE("Local",AA11)</f>
        <v/>
      </c>
      <c r="AA11" s="323" t="n">
        <v>192</v>
      </c>
      <c r="AB11" s="323" t="inlineStr">
        <is>
          <t>Bungoma Central District</t>
        </is>
      </c>
      <c r="AC11" s="323" t="n">
        <v>3</v>
      </c>
      <c r="AE11" s="324" t="n">
        <v>108</v>
      </c>
      <c r="AF11" s="324" t="inlineStr">
        <is>
          <t>Gitaru</t>
        </is>
      </c>
      <c r="AG11" s="324" t="n">
        <v>3</v>
      </c>
      <c r="AR11" t="n">
        <v>5</v>
      </c>
      <c r="AS11" t="inlineStr">
        <is>
          <t>Bank Of India</t>
        </is>
      </c>
      <c r="AT11" t="inlineStr">
        <is>
          <t>BANK5</t>
        </is>
      </c>
      <c r="AU11" t="n">
        <v>357</v>
      </c>
      <c r="AV11" t="inlineStr">
        <is>
          <t>NKRUMAH ROAD BRANCH</t>
        </is>
      </c>
      <c r="AW11" t="n">
        <v>35</v>
      </c>
      <c r="AX11" s="4" t="n"/>
      <c r="AZ11" s="305" t="n"/>
      <c r="BA11" s="305" t="inlineStr">
        <is>
          <t>AUSTRIA</t>
        </is>
      </c>
      <c r="BB11" s="306" t="n">
        <v>10</v>
      </c>
    </row>
    <row r="12">
      <c r="G12" t="inlineStr">
        <is>
          <t>FarmIncome.OtherAllowExpensesListS</t>
        </is>
      </c>
      <c r="H12" t="inlineStr">
        <is>
          <t>FrmIAES</t>
        </is>
      </c>
      <c r="K12" s="452" t="inlineStr">
        <is>
          <t>Location2022</t>
        </is>
      </c>
      <c r="L12" s="448" t="inlineStr">
        <is>
          <t>LocationCode2022</t>
        </is>
      </c>
      <c r="M12" s="3" t="n">
        <v>40136</v>
      </c>
      <c r="N12" t="inlineStr">
        <is>
          <t>ANDINGO</t>
        </is>
      </c>
      <c r="O12" t="n">
        <v>11</v>
      </c>
      <c r="P12" t="inlineStr">
        <is>
          <t>Kakamega</t>
        </is>
      </c>
      <c r="Q12" t="inlineStr">
        <is>
          <t>District11</t>
        </is>
      </c>
      <c r="R12" s="3" t="inlineStr">
        <is>
          <t>00208</t>
        </is>
      </c>
      <c r="Z12">
        <f>CONCATENATE("Local",AA12)</f>
        <v/>
      </c>
      <c r="AA12" s="323" t="n">
        <v>193</v>
      </c>
      <c r="AB12" s="323" t="inlineStr">
        <is>
          <t>Bungoma East District</t>
        </is>
      </c>
      <c r="AC12" s="323" t="n">
        <v>3</v>
      </c>
      <c r="AE12" s="324" t="n">
        <v>143</v>
      </c>
      <c r="AF12" s="324" t="inlineStr">
        <is>
          <t>Kahatia</t>
        </is>
      </c>
      <c r="AG12" s="324" t="n">
        <v>3</v>
      </c>
      <c r="AR12" t="n">
        <v>3</v>
      </c>
      <c r="AS12" t="inlineStr">
        <is>
          <t>Barclays Bank Of Kenya</t>
        </is>
      </c>
      <c r="AT12" t="inlineStr">
        <is>
          <t>BANK3</t>
        </is>
      </c>
      <c r="AU12" t="n">
        <v>355</v>
      </c>
      <c r="AV12" t="inlineStr">
        <is>
          <t>WESTLANDS BRANCH</t>
        </is>
      </c>
      <c r="AW12" t="n">
        <v>35</v>
      </c>
      <c r="AX12" s="4" t="n"/>
      <c r="AZ12" s="305" t="n"/>
      <c r="BA12" s="305" t="inlineStr">
        <is>
          <t>AZERBAIJAN</t>
        </is>
      </c>
      <c r="BB12" s="306" t="n">
        <v>11</v>
      </c>
    </row>
    <row r="13" ht="64" customHeight="1" s="486">
      <c r="A13" t="inlineStr">
        <is>
          <t>PurposeOfPolicy</t>
        </is>
      </c>
      <c r="B13" t="inlineStr">
        <is>
          <t>PolicyCode</t>
        </is>
      </c>
      <c r="C13" t="inlineStr">
        <is>
          <t>PolicyHolder</t>
        </is>
      </c>
      <c r="D13" t="inlineStr">
        <is>
          <t>Code for Policy Holder</t>
        </is>
      </c>
      <c r="E13" t="inlineStr">
        <is>
          <t>BodyTypes</t>
        </is>
      </c>
      <c r="F13" t="inlineStr">
        <is>
          <t>Code for body types</t>
        </is>
      </c>
      <c r="K13" s="453" t="inlineStr">
        <is>
          <t>Outside City of Nairobi, Municipalities of Mombasa and Kisumu with investment cost equals to or more than Kshs 200 million (150%)</t>
        </is>
      </c>
      <c r="L13" s="451" t="inlineStr">
        <is>
          <t>LC3</t>
        </is>
      </c>
      <c r="M13" s="3" t="n">
        <v>50412</v>
      </c>
      <c r="N13" t="inlineStr">
        <is>
          <t>ANGURAI</t>
        </is>
      </c>
      <c r="O13" t="n">
        <v>12</v>
      </c>
      <c r="P13" t="inlineStr">
        <is>
          <t>Kericho</t>
        </is>
      </c>
      <c r="Q13" t="inlineStr">
        <is>
          <t>District12</t>
        </is>
      </c>
      <c r="R13" s="3" t="inlineStr">
        <is>
          <t>00209</t>
        </is>
      </c>
      <c r="Z13">
        <f>CONCATENATE("Local",AA13)</f>
        <v/>
      </c>
      <c r="AA13" s="323" t="n">
        <v>194</v>
      </c>
      <c r="AB13" s="323" t="inlineStr">
        <is>
          <t>Bungoma North District</t>
        </is>
      </c>
      <c r="AC13" s="323" t="n">
        <v>3</v>
      </c>
      <c r="AE13" s="324" t="n">
        <v>146</v>
      </c>
      <c r="AF13" s="324" t="inlineStr">
        <is>
          <t>Kahuro</t>
        </is>
      </c>
      <c r="AG13" s="324" t="n">
        <v>3</v>
      </c>
      <c r="AR13" t="n">
        <v>9</v>
      </c>
      <c r="AS13" t="inlineStr">
        <is>
          <t>Central Bank Of Kenya</t>
        </is>
      </c>
      <c r="AT13" t="inlineStr">
        <is>
          <t>BANK9</t>
        </is>
      </c>
      <c r="AU13" t="n">
        <v>381</v>
      </c>
      <c r="AV13" t="inlineStr">
        <is>
          <t>HEAD OFFICE</t>
        </is>
      </c>
      <c r="AW13" t="n">
        <v>43</v>
      </c>
      <c r="AX13" s="4" t="n"/>
      <c r="AZ13" s="305" t="n"/>
      <c r="BA13" s="305" t="inlineStr">
        <is>
          <t>BAHAMAS</t>
        </is>
      </c>
      <c r="BB13" s="306" t="n">
        <v>12</v>
      </c>
    </row>
    <row r="14" ht="64" customHeight="1" s="486">
      <c r="A14" t="inlineStr">
        <is>
          <t>Education</t>
        </is>
      </c>
      <c r="B14" t="inlineStr">
        <is>
          <t>EDU</t>
        </is>
      </c>
      <c r="C14" t="inlineStr">
        <is>
          <t>Child</t>
        </is>
      </c>
      <c r="D14" t="inlineStr">
        <is>
          <t>C</t>
        </is>
      </c>
      <c r="E14" t="inlineStr">
        <is>
          <t>Saloon Hatch Backs and Estates</t>
        </is>
      </c>
      <c r="F14" t="inlineStr">
        <is>
          <t>SLNHTCH</t>
        </is>
      </c>
      <c r="K14" s="453" t="inlineStr">
        <is>
          <t>Outside City of Nairobi, Municipalities of Mombasa and Kisumu with investment cost Less than Kshs 200 million (100%)</t>
        </is>
      </c>
      <c r="L14" s="451" t="inlineStr">
        <is>
          <t>LC4</t>
        </is>
      </c>
      <c r="M14" s="3" t="n">
        <v>40616</v>
      </c>
      <c r="N14" t="inlineStr">
        <is>
          <t>ANYIKO</t>
        </is>
      </c>
      <c r="O14" t="n">
        <v>13</v>
      </c>
      <c r="P14" t="inlineStr">
        <is>
          <t>Kiambu</t>
        </is>
      </c>
      <c r="Q14" t="inlineStr">
        <is>
          <t>District13</t>
        </is>
      </c>
      <c r="R14" s="3" t="inlineStr">
        <is>
          <t>00210</t>
        </is>
      </c>
      <c r="Z14">
        <f>CONCATENATE("Local",AA14)</f>
        <v/>
      </c>
      <c r="AA14" s="323" t="n">
        <v>195</v>
      </c>
      <c r="AB14" s="323" t="inlineStr">
        <is>
          <t>Bungoma South District</t>
        </is>
      </c>
      <c r="AC14" s="323" t="n">
        <v>3</v>
      </c>
      <c r="AE14" s="324" t="n">
        <v>221</v>
      </c>
      <c r="AF14" s="324" t="inlineStr">
        <is>
          <t>Kikuyu</t>
        </is>
      </c>
      <c r="AG14" s="324" t="n">
        <v>3</v>
      </c>
      <c r="AR14" t="n">
        <v>32</v>
      </c>
      <c r="AS14" t="inlineStr">
        <is>
          <t>Cfc Bank Limited</t>
        </is>
      </c>
      <c r="AT14" t="inlineStr">
        <is>
          <t>BANK32</t>
        </is>
      </c>
      <c r="AU14" t="n">
        <v>382</v>
      </c>
      <c r="AV14" t="inlineStr">
        <is>
          <t>MOI AVENUE BRANCH</t>
        </is>
      </c>
      <c r="AW14" t="n">
        <v>43</v>
      </c>
      <c r="AX14" s="4" t="n"/>
      <c r="AZ14" s="305" t="n"/>
      <c r="BA14" s="305" t="inlineStr">
        <is>
          <t>BAHRAIN</t>
        </is>
      </c>
      <c r="BB14" s="306" t="n">
        <v>13</v>
      </c>
    </row>
    <row r="15" ht="48" customHeight="1" s="486">
      <c r="A15" t="inlineStr">
        <is>
          <t>Health</t>
        </is>
      </c>
      <c r="B15" t="inlineStr">
        <is>
          <t>HLTH</t>
        </is>
      </c>
      <c r="C15" t="inlineStr">
        <is>
          <t>Self</t>
        </is>
      </c>
      <c r="D15" t="inlineStr">
        <is>
          <t>S</t>
        </is>
      </c>
      <c r="E15" t="inlineStr">
        <is>
          <t>Pick Ups, Panel Vans Uncovered</t>
        </is>
      </c>
      <c r="F15" t="inlineStr">
        <is>
          <t>PICKUPS</t>
        </is>
      </c>
      <c r="K15" s="453" t="inlineStr">
        <is>
          <t>Outside Nairobi and Mombasa County with investment cost equal to or more than 2B</t>
        </is>
      </c>
      <c r="L15" s="451" t="inlineStr">
        <is>
          <t>LC5</t>
        </is>
      </c>
      <c r="M15" s="3" t="n">
        <v>40617</v>
      </c>
      <c r="N15" t="inlineStr">
        <is>
          <t>ANYUONGI</t>
        </is>
      </c>
      <c r="O15" t="n">
        <v>14</v>
      </c>
      <c r="P15" t="inlineStr">
        <is>
          <t>Kilifi</t>
        </is>
      </c>
      <c r="Q15" t="inlineStr">
        <is>
          <t>District14</t>
        </is>
      </c>
      <c r="R15" s="3" t="inlineStr">
        <is>
          <t>00211</t>
        </is>
      </c>
      <c r="Z15">
        <f>CONCATENATE("Local",AA15)</f>
        <v/>
      </c>
      <c r="AA15" s="323" t="n">
        <v>196</v>
      </c>
      <c r="AB15" s="323" t="inlineStr">
        <is>
          <t>Bungoma West District</t>
        </is>
      </c>
      <c r="AC15" s="323" t="n">
        <v>3</v>
      </c>
      <c r="AE15" s="324" t="n">
        <v>230</v>
      </c>
      <c r="AF15" s="324" t="inlineStr">
        <is>
          <t>Kinoo</t>
        </is>
      </c>
      <c r="AG15" s="324" t="n">
        <v>3</v>
      </c>
      <c r="AR15" t="n">
        <v>30</v>
      </c>
      <c r="AS15" t="inlineStr">
        <is>
          <t>Chase Bank (Kenya) Ltd</t>
        </is>
      </c>
      <c r="AT15" t="inlineStr">
        <is>
          <t>BANK30</t>
        </is>
      </c>
      <c r="AU15" t="n">
        <v>940</v>
      </c>
      <c r="AV15" t="inlineStr">
        <is>
          <t>aaaaa</t>
        </is>
      </c>
      <c r="AW15" t="n">
        <v>386</v>
      </c>
      <c r="AX15" s="4" t="n"/>
      <c r="AZ15" s="305" t="n"/>
      <c r="BA15" s="305" t="inlineStr">
        <is>
          <t>BANGLADESH</t>
        </is>
      </c>
      <c r="BB15" s="306" t="n">
        <v>14</v>
      </c>
    </row>
    <row r="16" ht="32" customHeight="1" s="486">
      <c r="A16" t="inlineStr">
        <is>
          <t>Life</t>
        </is>
      </c>
      <c r="B16" t="inlineStr">
        <is>
          <t>LIFE</t>
        </is>
      </c>
      <c r="C16" t="inlineStr">
        <is>
          <t>Wife</t>
        </is>
      </c>
      <c r="D16" t="inlineStr">
        <is>
          <t>W</t>
        </is>
      </c>
      <c r="E16" t="inlineStr">
        <is>
          <t>Land Rovers/ Cruisers(excludes Range Rovers and vehicles of similar nature)</t>
        </is>
      </c>
      <c r="F16" t="inlineStr">
        <is>
          <t>LANDOVER</t>
        </is>
      </c>
      <c r="K16" s="453" t="inlineStr">
        <is>
          <t>Outside the Municipalities of Nairobi and Mombasa (100%)</t>
        </is>
      </c>
      <c r="L16" s="451" t="inlineStr">
        <is>
          <t>LC1</t>
        </is>
      </c>
      <c r="M16" s="3" t="n">
        <v>40618</v>
      </c>
      <c r="N16" t="inlineStr">
        <is>
          <t>ARAM</t>
        </is>
      </c>
      <c r="O16" t="n">
        <v>15</v>
      </c>
      <c r="P16" t="inlineStr">
        <is>
          <t>Kirinyaga</t>
        </is>
      </c>
      <c r="Q16" t="inlineStr">
        <is>
          <t>District15</t>
        </is>
      </c>
      <c r="R16" s="3" t="inlineStr">
        <is>
          <t>00212</t>
        </is>
      </c>
      <c r="Z16">
        <f>CONCATENATE("Local",AA16)</f>
        <v/>
      </c>
      <c r="AA16" s="323" t="n">
        <v>197</v>
      </c>
      <c r="AB16" s="323" t="inlineStr">
        <is>
          <t>Mt. Elgon District</t>
        </is>
      </c>
      <c r="AC16" s="323" t="n">
        <v>3</v>
      </c>
      <c r="AE16" s="324" t="n">
        <v>377</v>
      </c>
      <c r="AF16" s="324" t="inlineStr">
        <is>
          <t>Murarandia</t>
        </is>
      </c>
      <c r="AG16" s="324" t="n">
        <v>3</v>
      </c>
      <c r="AR16" t="n">
        <v>16</v>
      </c>
      <c r="AS16" t="inlineStr">
        <is>
          <t>Citibank N.A.</t>
        </is>
      </c>
      <c r="AT16" t="inlineStr">
        <is>
          <t>BANK16</t>
        </is>
      </c>
      <c r="AU16" t="n">
        <v>327</v>
      </c>
      <c r="AV16" t="inlineStr">
        <is>
          <t>HEAD OFFICE</t>
        </is>
      </c>
      <c r="AW16" t="n">
        <v>19</v>
      </c>
      <c r="AX16" s="4" t="n"/>
      <c r="AZ16" s="305" t="n"/>
      <c r="BA16" s="305" t="inlineStr">
        <is>
          <t>BARBADOS</t>
        </is>
      </c>
      <c r="BB16" s="306" t="n">
        <v>15</v>
      </c>
    </row>
    <row r="17" ht="32" customHeight="1" s="486">
      <c r="K17" s="453" t="inlineStr">
        <is>
          <t>Within Municipality of Nairobi or Mombasa (100%)</t>
        </is>
      </c>
      <c r="L17" s="451" t="inlineStr">
        <is>
          <t>LC2</t>
        </is>
      </c>
      <c r="M17" s="3" t="n">
        <v>60302</v>
      </c>
      <c r="N17" t="inlineStr">
        <is>
          <t>ARCHER'S P0ST</t>
        </is>
      </c>
      <c r="O17" t="n">
        <v>16</v>
      </c>
      <c r="P17" t="inlineStr">
        <is>
          <t>Kisii</t>
        </is>
      </c>
      <c r="Q17" t="inlineStr">
        <is>
          <t>District16</t>
        </is>
      </c>
      <c r="R17" s="3" t="inlineStr">
        <is>
          <t>00213</t>
        </is>
      </c>
      <c r="Z17">
        <f>CONCATENATE("Local",AA17)</f>
        <v/>
      </c>
      <c r="AA17" s="323" t="n">
        <v>198</v>
      </c>
      <c r="AB17" s="323" t="inlineStr">
        <is>
          <t>Bunyala District</t>
        </is>
      </c>
      <c r="AC17" s="323" t="n">
        <v>4</v>
      </c>
      <c r="AE17" s="324" t="n">
        <v>414</v>
      </c>
      <c r="AF17" s="324" t="inlineStr">
        <is>
          <t>Ndenderu</t>
        </is>
      </c>
      <c r="AG17" s="324" t="n">
        <v>3</v>
      </c>
      <c r="AR17" t="n">
        <v>51</v>
      </c>
      <c r="AS17" t="inlineStr">
        <is>
          <t>City Finance Bank Ltd</t>
        </is>
      </c>
      <c r="AT17" t="inlineStr">
        <is>
          <t>BANK51</t>
        </is>
      </c>
      <c r="AU17" t="n">
        <v>328</v>
      </c>
      <c r="AV17" t="inlineStr">
        <is>
          <t>PALLI HOUSE BRANCH</t>
        </is>
      </c>
      <c r="AW17" t="n">
        <v>19</v>
      </c>
      <c r="AX17" s="4" t="n"/>
      <c r="AZ17" s="305" t="n"/>
      <c r="BA17" s="305" t="inlineStr">
        <is>
          <t>BELARUS</t>
        </is>
      </c>
      <c r="BB17" s="306" t="n">
        <v>16</v>
      </c>
    </row>
    <row r="18" ht="15" customHeight="1" s="486">
      <c r="B18" t="inlineStr">
        <is>
          <t>CarType Codes</t>
        </is>
      </c>
      <c r="C18" t="inlineStr">
        <is>
          <t>CarType</t>
        </is>
      </c>
      <c r="D18" t="inlineStr">
        <is>
          <t>ReturnType</t>
        </is>
      </c>
      <c r="E18" t="inlineStr">
        <is>
          <t>Return type code</t>
        </is>
      </c>
      <c r="F18" t="inlineStr">
        <is>
          <t>Boolean</t>
        </is>
      </c>
      <c r="M18" s="3" t="n">
        <v>30708</v>
      </c>
      <c r="N18" t="inlineStr">
        <is>
          <t>ARROR</t>
        </is>
      </c>
      <c r="O18" t="n">
        <v>17</v>
      </c>
      <c r="P18" t="inlineStr">
        <is>
          <t>Kisumu</t>
        </is>
      </c>
      <c r="Q18" t="inlineStr">
        <is>
          <t>District17</t>
        </is>
      </c>
      <c r="R18" s="3" t="inlineStr">
        <is>
          <t>00214</t>
        </is>
      </c>
      <c r="Z18">
        <f>CONCATENATE("Local",AA18)</f>
        <v/>
      </c>
      <c r="AA18" s="323" t="n">
        <v>199</v>
      </c>
      <c r="AB18" s="323" t="inlineStr">
        <is>
          <t>Busia District</t>
        </is>
      </c>
      <c r="AC18" s="323" t="n">
        <v>4</v>
      </c>
      <c r="AE18" s="324" t="n">
        <v>417</v>
      </c>
      <c r="AF18" s="324" t="inlineStr">
        <is>
          <t>Ndumbu-Ini</t>
        </is>
      </c>
      <c r="AG18" s="324" t="n">
        <v>3</v>
      </c>
      <c r="AR18" t="n">
        <v>11</v>
      </c>
      <c r="AS18" t="inlineStr">
        <is>
          <t>Co-Operative Bank Of Kenya Ltd</t>
        </is>
      </c>
      <c r="AT18" t="inlineStr">
        <is>
          <t>BANK11</t>
        </is>
      </c>
      <c r="AU18" t="n">
        <v>329</v>
      </c>
      <c r="AV18" t="inlineStr">
        <is>
          <t>RIVER ROAD</t>
        </is>
      </c>
      <c r="AW18" t="n">
        <v>19</v>
      </c>
      <c r="AX18" s="4" t="n"/>
      <c r="AZ18" s="305" t="n"/>
      <c r="BA18" s="305" t="inlineStr">
        <is>
          <t>BELGIUM</t>
        </is>
      </c>
      <c r="BB18" s="306" t="n">
        <v>17</v>
      </c>
    </row>
    <row r="19" ht="15" customHeight="1" s="486">
      <c r="B19" t="inlineStr">
        <is>
          <t>OWNED</t>
        </is>
      </c>
      <c r="C19" t="inlineStr">
        <is>
          <t>Own</t>
        </is>
      </c>
      <c r="D19" t="inlineStr">
        <is>
          <t>Original</t>
        </is>
      </c>
      <c r="E19" t="inlineStr">
        <is>
          <t>ORIGINAL</t>
        </is>
      </c>
      <c r="F19" t="inlineStr">
        <is>
          <t>Yes</t>
        </is>
      </c>
      <c r="M19" s="3" t="n">
        <v>40619</v>
      </c>
      <c r="N19" t="inlineStr">
        <is>
          <t>ASEMBO BAY</t>
        </is>
      </c>
      <c r="O19" t="n">
        <v>18</v>
      </c>
      <c r="P19" t="inlineStr">
        <is>
          <t>Kitui</t>
        </is>
      </c>
      <c r="Q19" t="inlineStr">
        <is>
          <t>District18</t>
        </is>
      </c>
      <c r="R19" s="3" t="inlineStr">
        <is>
          <t>00215</t>
        </is>
      </c>
      <c r="Z19">
        <f>CONCATENATE("Local",AA19)</f>
        <v/>
      </c>
      <c r="AA19" s="323" t="n">
        <v>200</v>
      </c>
      <c r="AB19" s="323" t="inlineStr">
        <is>
          <t>Samia District</t>
        </is>
      </c>
      <c r="AC19" s="323" t="n">
        <v>4</v>
      </c>
      <c r="AE19" s="324" t="n">
        <v>466</v>
      </c>
      <c r="AF19" s="324" t="inlineStr">
        <is>
          <t>Sigona</t>
        </is>
      </c>
      <c r="AG19" s="324" t="n">
        <v>3</v>
      </c>
      <c r="AR19" t="n">
        <v>7</v>
      </c>
      <c r="AS19" t="inlineStr">
        <is>
          <t>Commercial Bank Of Africa Ltd</t>
        </is>
      </c>
      <c r="AT19" t="inlineStr">
        <is>
          <t>BANK7</t>
        </is>
      </c>
      <c r="AU19" t="n">
        <v>330</v>
      </c>
      <c r="AV19" t="inlineStr">
        <is>
          <t>THIKA</t>
        </is>
      </c>
      <c r="AW19" t="n">
        <v>19</v>
      </c>
      <c r="AX19" s="4" t="n"/>
      <c r="AZ19" s="305" t="n"/>
      <c r="BA19" s="305" t="inlineStr">
        <is>
          <t>BELIZE</t>
        </is>
      </c>
      <c r="BB19" s="306" t="n">
        <v>18</v>
      </c>
    </row>
    <row r="20">
      <c r="B20" t="inlineStr">
        <is>
          <t>HIRED</t>
        </is>
      </c>
      <c r="C20" t="inlineStr">
        <is>
          <t>Hired</t>
        </is>
      </c>
      <c r="D20" t="inlineStr">
        <is>
          <t>Amended</t>
        </is>
      </c>
      <c r="E20" t="inlineStr">
        <is>
          <t>AMENDED</t>
        </is>
      </c>
      <c r="F20" t="inlineStr">
        <is>
          <t>No</t>
        </is>
      </c>
      <c r="K20" s="452" t="inlineStr">
        <is>
          <t>LocationJan2022</t>
        </is>
      </c>
      <c r="L20" s="448" t="inlineStr">
        <is>
          <t>LocationCodeJan2022</t>
        </is>
      </c>
      <c r="M20" s="3" t="n">
        <v>40309</v>
      </c>
      <c r="N20" t="inlineStr">
        <is>
          <t>ASUMBI</t>
        </is>
      </c>
      <c r="O20" t="n">
        <v>19</v>
      </c>
      <c r="P20" t="inlineStr">
        <is>
          <t>Kwale</t>
        </is>
      </c>
      <c r="Q20" t="inlineStr">
        <is>
          <t>District19</t>
        </is>
      </c>
      <c r="R20" s="3" t="inlineStr">
        <is>
          <t>00216</t>
        </is>
      </c>
      <c r="Z20">
        <f>CONCATENATE("Local",AA20)</f>
        <v/>
      </c>
      <c r="AA20" s="323" t="n">
        <v>201</v>
      </c>
      <c r="AB20" s="323" t="inlineStr">
        <is>
          <t>Teso North District</t>
        </is>
      </c>
      <c r="AC20" s="323" t="n">
        <v>4</v>
      </c>
      <c r="AE20" s="324" t="n">
        <v>502</v>
      </c>
      <c r="AF20" s="324" t="inlineStr">
        <is>
          <t>Uthiru</t>
        </is>
      </c>
      <c r="AG20" s="324" t="n">
        <v>3</v>
      </c>
      <c r="AR20" t="n">
        <v>23</v>
      </c>
      <c r="AS20" t="inlineStr">
        <is>
          <t>Consolidated Bank Of Kenya Ltd</t>
        </is>
      </c>
      <c r="AT20" t="inlineStr">
        <is>
          <t>BANK23</t>
        </is>
      </c>
      <c r="AU20" t="n">
        <v>223</v>
      </c>
      <c r="AV20" t="inlineStr">
        <is>
          <t>CITY SQUARE BRANCH</t>
        </is>
      </c>
      <c r="AW20" t="n">
        <v>6</v>
      </c>
      <c r="AX20" s="4" t="n"/>
      <c r="AZ20" s="305" t="n"/>
      <c r="BA20" s="305" t="inlineStr">
        <is>
          <t>BENIN</t>
        </is>
      </c>
      <c r="BB20" s="306" t="n">
        <v>19</v>
      </c>
    </row>
    <row r="21" ht="32" customHeight="1" s="486">
      <c r="A21" t="n">
        <v>2</v>
      </c>
      <c r="K21" s="453" t="inlineStr">
        <is>
          <t xml:space="preserve">Investment in a Special Economic Zone(100% ) </t>
        </is>
      </c>
      <c r="L21" s="451" t="inlineStr">
        <is>
          <t>LC7</t>
        </is>
      </c>
      <c r="M21" s="3" t="inlineStr">
        <is>
          <t>00204</t>
        </is>
      </c>
      <c r="N21" t="inlineStr">
        <is>
          <t>ATHI RIVER</t>
        </is>
      </c>
      <c r="O21" t="n">
        <v>20</v>
      </c>
      <c r="P21" t="inlineStr">
        <is>
          <t>Laikipia</t>
        </is>
      </c>
      <c r="Q21" t="inlineStr">
        <is>
          <t>District20</t>
        </is>
      </c>
      <c r="R21" s="3" t="inlineStr">
        <is>
          <t>00217</t>
        </is>
      </c>
      <c r="Z21">
        <f>CONCATENATE("Local",AA21)</f>
        <v/>
      </c>
      <c r="AA21" s="323" t="n">
        <v>202</v>
      </c>
      <c r="AB21" s="323" t="inlineStr">
        <is>
          <t>Teso South District</t>
        </is>
      </c>
      <c r="AC21" s="323" t="n">
        <v>4</v>
      </c>
      <c r="AE21" s="324" t="n">
        <v>512</v>
      </c>
      <c r="AF21" s="324" t="inlineStr">
        <is>
          <t>Wangige</t>
        </is>
      </c>
      <c r="AG21" s="324" t="n">
        <v>3</v>
      </c>
      <c r="AR21" t="n">
        <v>25</v>
      </c>
      <c r="AS21" t="inlineStr">
        <is>
          <t>Credit Bank Limited</t>
        </is>
      </c>
      <c r="AT21" t="inlineStr">
        <is>
          <t>BANK25</t>
        </is>
      </c>
      <c r="AU21" t="n">
        <v>224</v>
      </c>
      <c r="AV21" t="inlineStr">
        <is>
          <t>DIGO ROAD BRANCH</t>
        </is>
      </c>
      <c r="AW21" t="n">
        <v>6</v>
      </c>
      <c r="AX21" s="4" t="n"/>
      <c r="AZ21" s="305" t="n"/>
      <c r="BA21" s="305" t="inlineStr">
        <is>
          <t>BHUTAN</t>
        </is>
      </c>
      <c r="BB21" s="306" t="n">
        <v>20</v>
      </c>
    </row>
    <row r="22" ht="64" customHeight="1" s="486">
      <c r="A22" t="n">
        <v>9</v>
      </c>
      <c r="K22" s="453" t="inlineStr">
        <is>
          <t xml:space="preserve">Preceding 3 years of income outside Nairobi City County and Mombasa County was Kshs 2 billion shillings on or before the 25/04/2020(150%) </t>
        </is>
      </c>
      <c r="L22" s="451" t="inlineStr">
        <is>
          <t>LC8</t>
        </is>
      </c>
      <c r="M22" s="3" t="n">
        <v>40115</v>
      </c>
      <c r="N22" t="inlineStr">
        <is>
          <t>AWACH BRIDGE</t>
        </is>
      </c>
      <c r="O22" t="n">
        <v>21</v>
      </c>
      <c r="P22" t="inlineStr">
        <is>
          <t>Lamu</t>
        </is>
      </c>
      <c r="Q22" t="inlineStr">
        <is>
          <t>District21</t>
        </is>
      </c>
      <c r="R22" s="3" t="inlineStr">
        <is>
          <t>00218</t>
        </is>
      </c>
      <c r="Z22">
        <f>CONCATENATE("Local",AA22)</f>
        <v/>
      </c>
      <c r="AA22" s="323" t="n">
        <v>148</v>
      </c>
      <c r="AB22" s="323" t="inlineStr">
        <is>
          <t>Keiyo District</t>
        </is>
      </c>
      <c r="AC22" s="323" t="n">
        <v>5</v>
      </c>
      <c r="AE22" s="324" t="n">
        <v>87</v>
      </c>
      <c r="AF22" s="324" t="inlineStr">
        <is>
          <t>Gacharage</t>
        </is>
      </c>
      <c r="AG22" s="324" t="n">
        <v>4</v>
      </c>
      <c r="AR22" t="n">
        <v>59</v>
      </c>
      <c r="AS22" t="inlineStr">
        <is>
          <t>Development Bank Of Kenya Ltd</t>
        </is>
      </c>
      <c r="AT22" t="inlineStr">
        <is>
          <t>BANK59</t>
        </is>
      </c>
      <c r="AU22" t="n">
        <v>230</v>
      </c>
      <c r="AV22" t="inlineStr">
        <is>
          <t>ELDORET</t>
        </is>
      </c>
      <c r="AW22" t="n">
        <v>6</v>
      </c>
      <c r="AX22" s="4" t="n"/>
      <c r="AZ22" s="305" t="n"/>
      <c r="BA22" s="305" t="inlineStr">
        <is>
          <t>BOLIVIA</t>
        </is>
      </c>
      <c r="BB22" s="306" t="n">
        <v>21</v>
      </c>
    </row>
    <row r="23" ht="48" customHeight="1" s="486">
      <c r="A23" t="n">
        <v>2</v>
      </c>
      <c r="C23" s="312" t="inlineStr">
        <is>
          <t>Uploadable as XML?</t>
        </is>
      </c>
      <c r="K23" s="453" t="inlineStr">
        <is>
          <t>Preceding 3 years outside Nairobi City County and Mombasa County is at least Kshs 2 billion(100%)</t>
        </is>
      </c>
      <c r="L23" s="451" t="inlineStr">
        <is>
          <t>LC9</t>
        </is>
      </c>
      <c r="M23" s="3" t="n">
        <v>40328</v>
      </c>
      <c r="N23" t="inlineStr">
        <is>
          <t>AWACH TENDE</t>
        </is>
      </c>
      <c r="O23" t="n">
        <v>22</v>
      </c>
      <c r="P23" t="inlineStr">
        <is>
          <t>Machakos</t>
        </is>
      </c>
      <c r="Q23" t="inlineStr">
        <is>
          <t>District22</t>
        </is>
      </c>
      <c r="R23" s="3" t="inlineStr">
        <is>
          <t>00219</t>
        </is>
      </c>
      <c r="Z23">
        <f>CONCATENATE("Local",AA23)</f>
        <v/>
      </c>
      <c r="AA23" s="323" t="n">
        <v>149</v>
      </c>
      <c r="AB23" s="323" t="inlineStr">
        <is>
          <t>Marakwet District</t>
        </is>
      </c>
      <c r="AC23" s="323" t="n">
        <v>5</v>
      </c>
      <c r="AE23" s="324" t="n">
        <v>111</v>
      </c>
      <c r="AF23" s="324" t="inlineStr">
        <is>
          <t>Githumu</t>
        </is>
      </c>
      <c r="AG23" s="324" t="n">
        <v>4</v>
      </c>
      <c r="AR23" t="n">
        <v>63</v>
      </c>
      <c r="AS23" t="inlineStr">
        <is>
          <t>Diamond Trust Bank Of Kenya Ltd</t>
        </is>
      </c>
      <c r="AT23" t="inlineStr">
        <is>
          <t>BANK63</t>
        </is>
      </c>
      <c r="AU23" t="n">
        <v>229</v>
      </c>
      <c r="AV23" t="inlineStr">
        <is>
          <t>ENTERPRISE ROAD</t>
        </is>
      </c>
      <c r="AW23" t="n">
        <v>6</v>
      </c>
      <c r="AX23" s="4" t="n"/>
      <c r="AZ23" s="305" t="n"/>
      <c r="BA23" s="305" t="inlineStr">
        <is>
          <t>BOSNIA AND HERZEGOVINA</t>
        </is>
      </c>
      <c r="BB23" s="306" t="n">
        <v>22</v>
      </c>
    </row>
    <row r="24">
      <c r="A24" t="inlineStr">
        <is>
          <t>XLS</t>
        </is>
      </c>
      <c r="C24" s="312" t="inlineStr">
        <is>
          <t>Y</t>
        </is>
      </c>
      <c r="F24" t="inlineStr">
        <is>
          <t>NO</t>
        </is>
      </c>
      <c r="G24" t="inlineStr">
        <is>
          <t>Yes</t>
        </is>
      </c>
      <c r="H24" t="inlineStr">
        <is>
          <t>N</t>
        </is>
      </c>
      <c r="K24" s="453" t="inlineStr">
        <is>
          <t>Other(Less than 50%)</t>
        </is>
      </c>
      <c r="L24" s="451" t="inlineStr">
        <is>
          <t>LC6</t>
        </is>
      </c>
      <c r="M24" s="3" t="n">
        <v>20113</v>
      </c>
      <c r="N24" t="inlineStr">
        <is>
          <t>BAHATI</t>
        </is>
      </c>
      <c r="O24" t="n">
        <v>23</v>
      </c>
      <c r="P24" t="inlineStr">
        <is>
          <t>Makueni</t>
        </is>
      </c>
      <c r="Q24" t="inlineStr">
        <is>
          <t>District23</t>
        </is>
      </c>
      <c r="R24" s="3" t="inlineStr">
        <is>
          <t>00220</t>
        </is>
      </c>
      <c r="Z24">
        <f>CONCATENATE("Local",AA24)</f>
        <v/>
      </c>
      <c r="AA24" s="323" t="n">
        <v>48</v>
      </c>
      <c r="AB24" s="323" t="inlineStr">
        <is>
          <t>Embu East District</t>
        </is>
      </c>
      <c r="AC24" s="323" t="n">
        <v>6</v>
      </c>
      <c r="AE24" s="324" t="n">
        <v>141</v>
      </c>
      <c r="AF24" s="324" t="inlineStr">
        <is>
          <t>Kagunduini</t>
        </is>
      </c>
      <c r="AG24" s="324" t="n">
        <v>4</v>
      </c>
      <c r="AR24" t="n">
        <v>20</v>
      </c>
      <c r="AS24" t="inlineStr">
        <is>
          <t>Dubai Bank (Kenya) Ltd</t>
        </is>
      </c>
      <c r="AT24" t="inlineStr">
        <is>
          <t>BANK20</t>
        </is>
      </c>
      <c r="AU24" t="n">
        <v>222</v>
      </c>
      <c r="AV24" t="inlineStr">
        <is>
          <t>HEAD OFFICE</t>
        </is>
      </c>
      <c r="AW24" t="n">
        <v>6</v>
      </c>
      <c r="AX24" s="4" t="n"/>
      <c r="AZ24" s="305" t="n"/>
      <c r="BA24" s="305" t="inlineStr">
        <is>
          <t>BOTSWANA</t>
        </is>
      </c>
      <c r="BB24" s="306" t="n">
        <v>23</v>
      </c>
    </row>
    <row r="25" ht="64" customHeight="1" s="486">
      <c r="A25" t="inlineStr">
        <is>
          <t>EXCEL 1997-2003</t>
        </is>
      </c>
      <c r="F25" t="inlineStr">
        <is>
          <t>Yes</t>
        </is>
      </c>
      <c r="G25" t="inlineStr">
        <is>
          <t>No</t>
        </is>
      </c>
      <c r="H25" t="inlineStr">
        <is>
          <t>Y</t>
        </is>
      </c>
      <c r="K25" s="453" t="inlineStr">
        <is>
          <t>Outside Nairobi City County and Mombasa County in that year of income is at least Kshs 250 Million (100%)</t>
        </is>
      </c>
      <c r="L25" s="451" t="inlineStr">
        <is>
          <t>LC11</t>
        </is>
      </c>
      <c r="M25" s="3" t="n">
        <v>80210</v>
      </c>
      <c r="N25" t="inlineStr">
        <is>
          <t>BAMBA</t>
        </is>
      </c>
      <c r="O25" t="n">
        <v>24</v>
      </c>
      <c r="P25" t="inlineStr">
        <is>
          <t>Mandera</t>
        </is>
      </c>
      <c r="Q25" t="inlineStr">
        <is>
          <t>District24</t>
        </is>
      </c>
      <c r="R25" s="3" t="inlineStr">
        <is>
          <t>00221</t>
        </is>
      </c>
      <c r="Z25">
        <f>CONCATENATE("Local",AA25)</f>
        <v/>
      </c>
      <c r="AA25" s="323" t="n">
        <v>49</v>
      </c>
      <c r="AB25" s="323" t="inlineStr">
        <is>
          <t>Embu West District</t>
        </is>
      </c>
      <c r="AC25" s="323" t="n">
        <v>6</v>
      </c>
      <c r="AE25" s="324" t="n">
        <v>160</v>
      </c>
      <c r="AF25" s="324" t="inlineStr">
        <is>
          <t>Kandara</t>
        </is>
      </c>
      <c r="AG25" s="324" t="n">
        <v>4</v>
      </c>
      <c r="AR25" t="n">
        <v>49</v>
      </c>
      <c r="AS25" t="inlineStr">
        <is>
          <t>Equatorial Commercial Ltd</t>
        </is>
      </c>
      <c r="AT25" t="inlineStr">
        <is>
          <t>BANK49</t>
        </is>
      </c>
      <c r="AU25" t="n">
        <v>227</v>
      </c>
      <c r="AV25" t="inlineStr">
        <is>
          <t>KISUMU BRANCH</t>
        </is>
      </c>
      <c r="AW25" t="n">
        <v>6</v>
      </c>
      <c r="AX25" s="4" t="n"/>
      <c r="AZ25" s="305" t="n"/>
      <c r="BA25" s="305" t="inlineStr">
        <is>
          <t>BRAZIL</t>
        </is>
      </c>
      <c r="BB25" s="306" t="n">
        <v>24</v>
      </c>
    </row>
    <row r="26" ht="15" customHeight="1" s="486">
      <c r="D26" t="inlineStr">
        <is>
          <t>listNames</t>
        </is>
      </c>
      <c r="M26" s="3" t="n">
        <v>80101</v>
      </c>
      <c r="N26" t="inlineStr">
        <is>
          <t>BAMBURI</t>
        </is>
      </c>
      <c r="O26" t="n">
        <v>25</v>
      </c>
      <c r="P26" t="inlineStr">
        <is>
          <t>Marsabit</t>
        </is>
      </c>
      <c r="Q26" t="inlineStr">
        <is>
          <t>District25</t>
        </is>
      </c>
      <c r="R26" s="3" t="inlineStr">
        <is>
          <t>00222</t>
        </is>
      </c>
      <c r="Z26">
        <f>CONCATENATE("Local",AA26)</f>
        <v/>
      </c>
      <c r="AA26" s="323" t="n">
        <v>50</v>
      </c>
      <c r="AB26" s="323" t="inlineStr">
        <is>
          <t>Mbeere North District</t>
        </is>
      </c>
      <c r="AC26" s="323" t="n">
        <v>6</v>
      </c>
      <c r="AE26" s="324" t="n">
        <v>523</v>
      </c>
      <c r="AF26" s="324" t="inlineStr">
        <is>
          <t>Kiambaa</t>
        </is>
      </c>
      <c r="AG26" s="324" t="n">
        <v>5</v>
      </c>
      <c r="AR26" t="n">
        <v>68</v>
      </c>
      <c r="AS26" t="inlineStr">
        <is>
          <t>Equity Bank Ltd</t>
        </is>
      </c>
      <c r="AT26" t="inlineStr">
        <is>
          <t>BANK68</t>
        </is>
      </c>
      <c r="AU26" t="n">
        <v>225</v>
      </c>
      <c r="AV26" t="inlineStr">
        <is>
          <t>MAKADARA ROAD BRANCH</t>
        </is>
      </c>
      <c r="AW26" t="n">
        <v>6</v>
      </c>
      <c r="AX26" s="4" t="n"/>
      <c r="AZ26" s="305" t="n"/>
      <c r="BA26" s="305" t="inlineStr">
        <is>
          <t>BRUNEI</t>
        </is>
      </c>
      <c r="BB26" s="306" t="n">
        <v>25</v>
      </c>
    </row>
    <row r="27" ht="15" customHeight="1" s="486">
      <c r="D27" s="3" t="inlineStr">
        <is>
          <t>Sch2.RentalIncomeListSelf,Sch2.RentalIncomeListSpouse,Sch3.EmployerIncomeDtlsListS,Sch3.EmployerIncomeDtlsListW,Sch3.CarBeneDtlsListSelf,Sch3.CarBeneDtlsListSpouse,Sch5.OwnHomeSavePlanListSelf,Sch5.OwnHomeSavePlanListSpouse,Sch6.InsRlfDtlsListSelf,Sch6.InsRlfDtlsListSpouse,Sch79.PAYEDedFromSalList</t>
        </is>
      </c>
      <c r="M27" s="3" t="n">
        <v>50316</v>
      </c>
      <c r="N27" t="inlineStr">
        <is>
          <t>BANJA</t>
        </is>
      </c>
      <c r="O27" t="n">
        <v>26</v>
      </c>
      <c r="P27" t="inlineStr">
        <is>
          <t>Meru</t>
        </is>
      </c>
      <c r="Q27" t="inlineStr">
        <is>
          <t>District26</t>
        </is>
      </c>
      <c r="R27" s="3" t="inlineStr">
        <is>
          <t>00223</t>
        </is>
      </c>
      <c r="Z27">
        <f>CONCATENATE("Local",AA27)</f>
        <v/>
      </c>
      <c r="AA27" s="323" t="n">
        <v>51</v>
      </c>
      <c r="AB27" s="323" t="inlineStr">
        <is>
          <t>Mbeere South District</t>
        </is>
      </c>
      <c r="AC27" s="323" t="n">
        <v>6</v>
      </c>
      <c r="AE27" s="324" t="n">
        <v>15</v>
      </c>
      <c r="AF27" s="324" t="inlineStr">
        <is>
          <t>Banana</t>
        </is>
      </c>
      <c r="AG27" s="324" t="n">
        <v>6</v>
      </c>
      <c r="AR27" t="n">
        <v>70</v>
      </c>
      <c r="AS27" t="inlineStr">
        <is>
          <t>Family Bank Limited</t>
        </is>
      </c>
      <c r="AT27" t="inlineStr">
        <is>
          <t>BANK70</t>
        </is>
      </c>
      <c r="AU27" t="n">
        <v>228</v>
      </c>
      <c r="AV27" t="inlineStr">
        <is>
          <t>SARIT CENTRE</t>
        </is>
      </c>
      <c r="AW27" t="n">
        <v>6</v>
      </c>
      <c r="AX27" s="4" t="n"/>
      <c r="AZ27" s="305" t="n"/>
      <c r="BA27" s="305" t="inlineStr">
        <is>
          <t>BULGARIA</t>
        </is>
      </c>
      <c r="BB27" s="306" t="n">
        <v>26</v>
      </c>
    </row>
    <row r="28" ht="15" customHeight="1" s="486">
      <c r="A28" t="inlineStr">
        <is>
          <t>NatureOfPayment</t>
        </is>
      </c>
      <c r="B28" t="inlineStr">
        <is>
          <t>Tax Rate</t>
        </is>
      </c>
      <c r="C28" t="inlineStr">
        <is>
          <t>Code for Nature of Payment</t>
        </is>
      </c>
      <c r="M28" s="3" t="n">
        <v>50411</v>
      </c>
      <c r="N28" t="inlineStr">
        <is>
          <t>BAR OBER</t>
        </is>
      </c>
      <c r="O28" t="n">
        <v>27</v>
      </c>
      <c r="P28" t="inlineStr">
        <is>
          <t>Migori</t>
        </is>
      </c>
      <c r="Q28" t="inlineStr">
        <is>
          <t>District27</t>
        </is>
      </c>
      <c r="R28" s="3" t="inlineStr">
        <is>
          <t>00224</t>
        </is>
      </c>
      <c r="Z28">
        <f>CONCATENATE("Local",AA28)</f>
        <v/>
      </c>
      <c r="AA28" s="323" t="n">
        <v>213</v>
      </c>
      <c r="AB28" s="323" t="inlineStr">
        <is>
          <t>Balambala District</t>
        </is>
      </c>
      <c r="AC28" s="323" t="n">
        <v>7</v>
      </c>
      <c r="AE28" s="324" t="n">
        <v>88</v>
      </c>
      <c r="AF28" s="324" t="inlineStr">
        <is>
          <t>Gachie</t>
        </is>
      </c>
      <c r="AG28" s="324" t="n">
        <v>6</v>
      </c>
      <c r="AR28" t="n">
        <v>60</v>
      </c>
      <c r="AS28" t="inlineStr">
        <is>
          <t>Fidelity Commercial Bank Ltd</t>
        </is>
      </c>
      <c r="AT28" t="inlineStr">
        <is>
          <t>BANK60</t>
        </is>
      </c>
      <c r="AU28" t="n">
        <v>817</v>
      </c>
      <c r="AV28" t="inlineStr">
        <is>
          <t>TEST</t>
        </is>
      </c>
      <c r="AW28" t="n">
        <v>6</v>
      </c>
      <c r="AX28" s="4" t="n"/>
      <c r="AZ28" s="305" t="n"/>
      <c r="BA28" s="305" t="inlineStr">
        <is>
          <t>BURKINA FASO</t>
        </is>
      </c>
      <c r="BB28" s="306" t="n">
        <v>27</v>
      </c>
    </row>
    <row r="29">
      <c r="A29" t="inlineStr">
        <is>
          <t>Qualifying Dividend</t>
        </is>
      </c>
      <c r="B29" t="n">
        <v>5</v>
      </c>
      <c r="C29" t="inlineStr">
        <is>
          <t>NP1</t>
        </is>
      </c>
      <c r="K29" s="452" t="inlineStr">
        <is>
          <t>LocationJuly2022</t>
        </is>
      </c>
      <c r="L29" s="448" t="inlineStr">
        <is>
          <t>LocationCodeJul2022</t>
        </is>
      </c>
      <c r="M29" s="3" t="n">
        <v>20601</v>
      </c>
      <c r="N29" t="inlineStr">
        <is>
          <t>BARAGOI</t>
        </is>
      </c>
      <c r="O29" t="n">
        <v>28</v>
      </c>
      <c r="P29" t="inlineStr">
        <is>
          <t>Mombasa</t>
        </is>
      </c>
      <c r="Q29" t="inlineStr">
        <is>
          <t>District28</t>
        </is>
      </c>
      <c r="R29" s="3" t="inlineStr">
        <is>
          <t>00225</t>
        </is>
      </c>
      <c r="Z29">
        <f>CONCATENATE("Local",AA29)</f>
        <v/>
      </c>
      <c r="AA29" s="323" t="n">
        <v>94</v>
      </c>
      <c r="AB29" s="323" t="inlineStr">
        <is>
          <t>Fafi District</t>
        </is>
      </c>
      <c r="AC29" s="323" t="n">
        <v>7</v>
      </c>
      <c r="AE29" s="324" t="n">
        <v>110</v>
      </c>
      <c r="AF29" s="324" t="inlineStr">
        <is>
          <t>Githiga</t>
        </is>
      </c>
      <c r="AG29" s="324" t="n">
        <v>6</v>
      </c>
      <c r="AR29" t="n">
        <v>53</v>
      </c>
      <c r="AS29" t="inlineStr">
        <is>
          <t>Fina Bank Ltd</t>
        </is>
      </c>
      <c r="AT29" t="inlineStr">
        <is>
          <t>BANK53</t>
        </is>
      </c>
      <c r="AU29" t="n">
        <v>226</v>
      </c>
      <c r="AV29" t="inlineStr">
        <is>
          <t>THIKA BRANCH</t>
        </is>
      </c>
      <c r="AW29" t="n">
        <v>6</v>
      </c>
      <c r="AX29" s="4" t="n"/>
      <c r="AZ29" s="305" t="n"/>
      <c r="BA29" s="305" t="inlineStr">
        <is>
          <t>BURUNDI</t>
        </is>
      </c>
      <c r="BB29" s="306" t="n">
        <v>28</v>
      </c>
    </row>
    <row r="30" ht="32" customHeight="1" s="486">
      <c r="A30" t="inlineStr">
        <is>
          <t>Subsidiary and associated company dividends(with&gt;12.5 % shareholding)</t>
        </is>
      </c>
      <c r="B30" t="n">
        <v>0</v>
      </c>
      <c r="C30" t="inlineStr">
        <is>
          <t>NP2</t>
        </is>
      </c>
      <c r="D30" s="2" t="inlineStr">
        <is>
          <t>visibleSheetsArr (List of Sheets which should be visible when macros are enabled)</t>
        </is>
      </c>
      <c r="K30" s="453" t="inlineStr">
        <is>
          <t xml:space="preserve">Investment in a Special Economic Zone(100% ) </t>
        </is>
      </c>
      <c r="L30" s="451" t="inlineStr">
        <is>
          <t>LC7</t>
        </is>
      </c>
      <c r="M30" s="3" t="n">
        <v>30306</v>
      </c>
      <c r="N30" t="inlineStr">
        <is>
          <t>BARATON</t>
        </is>
      </c>
      <c r="O30" t="n">
        <v>29</v>
      </c>
      <c r="P30" t="inlineStr">
        <is>
          <t>Muranga</t>
        </is>
      </c>
      <c r="Q30" t="inlineStr">
        <is>
          <t>District29</t>
        </is>
      </c>
      <c r="R30" s="3" t="inlineStr">
        <is>
          <t>00226</t>
        </is>
      </c>
      <c r="Z30">
        <f>CONCATENATE("Local",AA30)</f>
        <v/>
      </c>
      <c r="AA30" s="323" t="n">
        <v>95</v>
      </c>
      <c r="AB30" s="323" t="inlineStr">
        <is>
          <t>Garissa District</t>
        </is>
      </c>
      <c r="AC30" s="323" t="n">
        <v>7</v>
      </c>
      <c r="AE30" s="324" t="n">
        <v>128</v>
      </c>
      <c r="AF30" s="324" t="inlineStr">
        <is>
          <t>Ikinu</t>
        </is>
      </c>
      <c r="AG30" s="324" t="n">
        <v>6</v>
      </c>
      <c r="AR30" t="n">
        <v>74</v>
      </c>
      <c r="AS30" t="inlineStr">
        <is>
          <t>First Community Bank Ltd</t>
        </is>
      </c>
      <c r="AT30" t="inlineStr">
        <is>
          <t>BANK74</t>
        </is>
      </c>
      <c r="AU30" t="n">
        <v>220</v>
      </c>
      <c r="AV30" t="inlineStr">
        <is>
          <t>HEAD OFFICE</t>
        </is>
      </c>
      <c r="AW30" t="n">
        <v>5</v>
      </c>
      <c r="AX30" s="4" t="n"/>
      <c r="AZ30" s="305" t="n"/>
      <c r="BA30" s="305" t="inlineStr">
        <is>
          <t>CAMBODIA</t>
        </is>
      </c>
      <c r="BB30" s="306" t="n">
        <v>29</v>
      </c>
    </row>
    <row r="31" ht="64" customHeight="1" s="486">
      <c r="A31" t="inlineStr">
        <is>
          <t>Interest from Banks</t>
        </is>
      </c>
      <c r="B31" t="n">
        <v>15</v>
      </c>
      <c r="C31" t="inlineStr">
        <is>
          <t>NP3</t>
        </is>
      </c>
      <c r="D31" t="inlineStr">
        <is>
          <t>Read Me:Errors:Macros_Disabled:A_Basic_Info:F_Employment_Income:M_Details_of_PAYE_Deducted:Q_IT_Payment_Credits:T_Tax_Computation</t>
        </is>
      </c>
      <c r="K31" s="453" t="inlineStr">
        <is>
          <t xml:space="preserve">Preceding 3 years of income outside Nairobi City County and Mombasa County was Kshs 2 billion shillings on or before the 25/04/2020(150%) </t>
        </is>
      </c>
      <c r="L31" s="451" t="inlineStr">
        <is>
          <t>LC8</t>
        </is>
      </c>
      <c r="M31" s="3" t="n">
        <v>10302</v>
      </c>
      <c r="N31" t="inlineStr">
        <is>
          <t>BARICHO</t>
        </is>
      </c>
      <c r="O31" t="n">
        <v>30</v>
      </c>
      <c r="P31" t="inlineStr">
        <is>
          <t>Nairobi City</t>
        </is>
      </c>
      <c r="Q31" t="inlineStr">
        <is>
          <t>District30</t>
        </is>
      </c>
      <c r="R31" s="3" t="inlineStr">
        <is>
          <t>00227</t>
        </is>
      </c>
      <c r="Z31">
        <f>CONCATENATE("Local",AA31)</f>
        <v/>
      </c>
      <c r="AA31" s="323" t="n">
        <v>96</v>
      </c>
      <c r="AB31" s="323" t="inlineStr">
        <is>
          <t>Ijara District</t>
        </is>
      </c>
      <c r="AC31" s="323" t="n">
        <v>7</v>
      </c>
      <c r="AE31" s="324" t="n">
        <v>181</v>
      </c>
      <c r="AF31" s="324" t="inlineStr">
        <is>
          <t>Karuri</t>
        </is>
      </c>
      <c r="AG31" s="324" t="n">
        <v>6</v>
      </c>
      <c r="AR31" t="n">
        <v>42</v>
      </c>
      <c r="AS31" t="inlineStr">
        <is>
          <t>Giro Bank</t>
        </is>
      </c>
      <c r="AT31" t="inlineStr">
        <is>
          <t>BANK42</t>
        </is>
      </c>
      <c r="AU31" t="n">
        <v>221</v>
      </c>
      <c r="AV31" t="inlineStr">
        <is>
          <t>NKRUMAH ROAD BRANCH</t>
        </is>
      </c>
      <c r="AW31" t="n">
        <v>5</v>
      </c>
      <c r="AX31" s="4" t="n"/>
      <c r="AZ31" s="305" t="n"/>
      <c r="BA31" s="305" t="inlineStr">
        <is>
          <t>CAMEROON</t>
        </is>
      </c>
      <c r="BB31" s="306" t="n">
        <v>30</v>
      </c>
    </row>
    <row r="32" ht="48" customHeight="1" s="486">
      <c r="A32" t="inlineStr">
        <is>
          <t>Interest on Housing Bonds</t>
        </is>
      </c>
      <c r="B32" t="n">
        <v>10</v>
      </c>
      <c r="C32" t="inlineStr">
        <is>
          <t>NP4</t>
        </is>
      </c>
      <c r="K32" s="453" t="inlineStr">
        <is>
          <t>Preceding 3 years outside Nairobi City County and Mombasa County is at least Kshs 2 billion(100%)</t>
        </is>
      </c>
      <c r="L32" s="451" t="inlineStr">
        <is>
          <t>LC9</t>
        </is>
      </c>
      <c r="M32" s="3" t="n">
        <v>30409</v>
      </c>
      <c r="N32" t="inlineStr">
        <is>
          <t>BARTABWA</t>
        </is>
      </c>
      <c r="O32" t="n">
        <v>31</v>
      </c>
      <c r="P32" t="inlineStr">
        <is>
          <t>Nakuru</t>
        </is>
      </c>
      <c r="Q32" t="inlineStr">
        <is>
          <t>District31</t>
        </is>
      </c>
      <c r="R32" s="3" t="inlineStr">
        <is>
          <t>00228</t>
        </is>
      </c>
      <c r="Z32">
        <f>CONCATENATE("Local",AA32)</f>
        <v/>
      </c>
      <c r="AA32" s="323" t="n">
        <v>97</v>
      </c>
      <c r="AB32" s="323" t="inlineStr">
        <is>
          <t>Lagdera District</t>
        </is>
      </c>
      <c r="AC32" s="323" t="n">
        <v>7</v>
      </c>
      <c r="AE32" s="324" t="n">
        <v>359</v>
      </c>
      <c r="AF32" s="324" t="inlineStr">
        <is>
          <t>Muchatha</t>
        </is>
      </c>
      <c r="AG32" s="324" t="n">
        <v>6</v>
      </c>
      <c r="AR32" t="n">
        <v>55</v>
      </c>
      <c r="AS32" t="inlineStr">
        <is>
          <t>Guardian Bank Ltd</t>
        </is>
      </c>
      <c r="AT32" t="inlineStr">
        <is>
          <t>BANK55</t>
        </is>
      </c>
      <c r="AU32" t="n">
        <v>173</v>
      </c>
      <c r="AV32" t="inlineStr">
        <is>
          <t>ACCRA ROAD BRANCH</t>
        </is>
      </c>
      <c r="AW32" t="n">
        <v>3</v>
      </c>
      <c r="AX32" s="4" t="n"/>
      <c r="AZ32" s="305" t="n"/>
      <c r="BA32" s="305" t="inlineStr">
        <is>
          <t>CANADA</t>
        </is>
      </c>
      <c r="BB32" s="306" t="n">
        <v>31</v>
      </c>
    </row>
    <row r="33" ht="64" customHeight="1" s="486">
      <c r="A33" t="inlineStr">
        <is>
          <t>Rent- Building(immovable)</t>
        </is>
      </c>
      <c r="B33" t="n">
        <v>0</v>
      </c>
      <c r="C33" t="inlineStr">
        <is>
          <t>NP5</t>
        </is>
      </c>
      <c r="K33" s="453" t="inlineStr">
        <is>
          <t xml:space="preserve">Preceding 4 years from 25/04/2020 or succeeding 3 years outside Nairobi City County or Mombasa County is at least Kshs 2 billion(150%) </t>
        </is>
      </c>
      <c r="L33" s="451" t="inlineStr">
        <is>
          <t>LC10</t>
        </is>
      </c>
      <c r="M33" s="3" t="n">
        <v>30408</v>
      </c>
      <c r="N33" t="inlineStr">
        <is>
          <t>BARTOLIMO</t>
        </is>
      </c>
      <c r="O33" t="n">
        <v>32</v>
      </c>
      <c r="P33" t="inlineStr">
        <is>
          <t>Nandi</t>
        </is>
      </c>
      <c r="Q33" t="inlineStr">
        <is>
          <t>District32</t>
        </is>
      </c>
      <c r="R33" s="3" t="inlineStr">
        <is>
          <t>00229</t>
        </is>
      </c>
      <c r="Z33">
        <f>CONCATENATE("Local",AA33)</f>
        <v/>
      </c>
      <c r="AA33" s="323" t="n">
        <v>106</v>
      </c>
      <c r="AB33" s="323" t="inlineStr">
        <is>
          <t>Homa Bay District</t>
        </is>
      </c>
      <c r="AC33" s="323" t="n">
        <v>8</v>
      </c>
      <c r="AE33" s="324" t="n">
        <v>416</v>
      </c>
      <c r="AF33" s="324" t="inlineStr">
        <is>
          <t>Ndumberi</t>
        </is>
      </c>
      <c r="AG33" s="324" t="n">
        <v>6</v>
      </c>
      <c r="AR33" t="n">
        <v>72</v>
      </c>
      <c r="AS33" t="inlineStr">
        <is>
          <t>Gulf African Bank</t>
        </is>
      </c>
      <c r="AT33" t="inlineStr">
        <is>
          <t>BANK72</t>
        </is>
      </c>
      <c r="AU33" t="n">
        <v>139</v>
      </c>
      <c r="AV33" t="inlineStr">
        <is>
          <t>BUNGOMA BRANCH</t>
        </is>
      </c>
      <c r="AW33" t="n">
        <v>3</v>
      </c>
      <c r="AX33" s="4" t="n"/>
      <c r="AZ33" s="305" t="n"/>
      <c r="BA33" s="305" t="inlineStr">
        <is>
          <t>CAPE VERDE</t>
        </is>
      </c>
      <c r="BB33" s="306" t="n">
        <v>32</v>
      </c>
    </row>
    <row r="34">
      <c r="A34" t="inlineStr">
        <is>
          <t>Rent- Others(aircraft and aircraft engine exempt)</t>
        </is>
      </c>
      <c r="B34" t="n">
        <v>0</v>
      </c>
      <c r="C34" t="inlineStr">
        <is>
          <t>NP6</t>
        </is>
      </c>
      <c r="K34" s="453" t="inlineStr">
        <is>
          <t>Other(Less than 50%)</t>
        </is>
      </c>
      <c r="L34" s="451" t="inlineStr">
        <is>
          <t>LC6</t>
        </is>
      </c>
      <c r="M34" s="3" t="n">
        <v>30411</v>
      </c>
      <c r="N34" t="inlineStr">
        <is>
          <t>BARWESA</t>
        </is>
      </c>
      <c r="O34" t="n">
        <v>33</v>
      </c>
      <c r="P34" t="inlineStr">
        <is>
          <t>Narok</t>
        </is>
      </c>
      <c r="Q34" t="inlineStr">
        <is>
          <t>District33</t>
        </is>
      </c>
      <c r="R34" s="3" t="inlineStr">
        <is>
          <t>00230</t>
        </is>
      </c>
      <c r="Z34">
        <f>CONCATENATE("Local",AA34)</f>
        <v/>
      </c>
      <c r="AA34" s="323" t="n">
        <v>107</v>
      </c>
      <c r="AB34" s="323" t="inlineStr">
        <is>
          <t>Mbita District</t>
        </is>
      </c>
      <c r="AC34" s="323" t="n">
        <v>8</v>
      </c>
      <c r="AE34" s="324" t="n">
        <v>445</v>
      </c>
      <c r="AF34" s="324" t="inlineStr">
        <is>
          <t>Ruaka</t>
        </is>
      </c>
      <c r="AG34" s="324" t="n">
        <v>6</v>
      </c>
      <c r="AR34" t="n">
        <v>422</v>
      </c>
      <c r="AS34" t="inlineStr">
        <is>
          <t>Gulf Bank</t>
        </is>
      </c>
      <c r="AT34" t="inlineStr">
        <is>
          <t>blank</t>
        </is>
      </c>
      <c r="AU34" t="n">
        <v>210</v>
      </c>
      <c r="AV34" t="inlineStr">
        <is>
          <t>BUTERE ROAD</t>
        </is>
      </c>
      <c r="AW34" t="n">
        <v>3</v>
      </c>
      <c r="AX34" s="4" t="n"/>
      <c r="AZ34" s="305" t="n"/>
      <c r="BA34" s="305" t="inlineStr">
        <is>
          <t>CENTRAL AFRICAN REPUBLIC</t>
        </is>
      </c>
      <c r="BB34" s="306" t="n">
        <v>33</v>
      </c>
    </row>
    <row r="35" ht="64" customHeight="1" s="486">
      <c r="A35" t="inlineStr">
        <is>
          <t>Two year government bearer bonds</t>
        </is>
      </c>
      <c r="B35" t="n">
        <v>15</v>
      </c>
      <c r="C35" t="inlineStr">
        <is>
          <t>NP7</t>
        </is>
      </c>
      <c r="K35" s="453" t="inlineStr">
        <is>
          <t>Outside Nairobi City County and Mombasa County in that year of income is at least Kshs 250 Million (100%)</t>
        </is>
      </c>
      <c r="L35" s="451" t="inlineStr">
        <is>
          <t>LC11</t>
        </is>
      </c>
      <c r="M35" s="3" t="inlineStr">
        <is>
          <t>00226</t>
        </is>
      </c>
      <c r="N35" t="inlineStr">
        <is>
          <t>BIBIRIONI</t>
        </is>
      </c>
      <c r="O35" t="n">
        <v>34</v>
      </c>
      <c r="P35" t="inlineStr">
        <is>
          <t>Nyamira</t>
        </is>
      </c>
      <c r="Q35" t="inlineStr">
        <is>
          <t>District34</t>
        </is>
      </c>
      <c r="R35" s="3" t="inlineStr">
        <is>
          <t>00231</t>
        </is>
      </c>
      <c r="Z35">
        <f>CONCATENATE("Local",AA35)</f>
        <v/>
      </c>
      <c r="AA35" s="323" t="n">
        <v>108</v>
      </c>
      <c r="AB35" s="323" t="inlineStr">
        <is>
          <t>Ndhiwa District</t>
        </is>
      </c>
      <c r="AC35" s="323" t="n">
        <v>8</v>
      </c>
      <c r="AE35" s="324" t="n">
        <v>218</v>
      </c>
      <c r="AF35" s="324" t="inlineStr">
        <is>
          <t>Kijabe</t>
        </is>
      </c>
      <c r="AG35" s="324" t="n">
        <v>7</v>
      </c>
      <c r="AR35" t="n">
        <v>339</v>
      </c>
      <c r="AS35" t="inlineStr">
        <is>
          <t>HDFC</t>
        </is>
      </c>
      <c r="AT35" t="inlineStr">
        <is>
          <t>BANK339</t>
        </is>
      </c>
      <c r="AU35" t="n">
        <v>155</v>
      </c>
      <c r="AV35" t="inlineStr">
        <is>
          <t>CHANGAMWE BRANCH</t>
        </is>
      </c>
      <c r="AW35" t="n">
        <v>3</v>
      </c>
      <c r="AX35" s="4" t="n"/>
      <c r="AZ35" s="305" t="n"/>
      <c r="BA35" s="305" t="inlineStr">
        <is>
          <t>CHAD</t>
        </is>
      </c>
      <c r="BB35" s="306" t="n">
        <v>34</v>
      </c>
    </row>
    <row r="36" ht="15" customHeight="1" s="486">
      <c r="A36" t="inlineStr">
        <is>
          <t>Other bearer bonds</t>
        </is>
      </c>
      <c r="B36" t="n">
        <v>25</v>
      </c>
      <c r="C36" t="inlineStr">
        <is>
          <t>NP8</t>
        </is>
      </c>
      <c r="M36" s="3" t="inlineStr">
        <is>
          <t>01101</t>
        </is>
      </c>
      <c r="N36" t="inlineStr">
        <is>
          <t>BISSIL</t>
        </is>
      </c>
      <c r="O36" t="n">
        <v>35</v>
      </c>
      <c r="P36" t="inlineStr">
        <is>
          <t>Nyandarua</t>
        </is>
      </c>
      <c r="Q36" t="inlineStr">
        <is>
          <t>District35</t>
        </is>
      </c>
      <c r="R36" s="3" t="inlineStr">
        <is>
          <t>00232</t>
        </is>
      </c>
      <c r="Z36">
        <f>CONCATENATE("Local",AA36)</f>
        <v/>
      </c>
      <c r="AA36" s="323" t="n">
        <v>110</v>
      </c>
      <c r="AB36" s="323" t="inlineStr">
        <is>
          <t>Rachuonyo North District</t>
        </is>
      </c>
      <c r="AC36" s="323" t="n">
        <v>8</v>
      </c>
      <c r="AE36" s="324" t="n">
        <v>225</v>
      </c>
      <c r="AF36" s="324" t="inlineStr">
        <is>
          <t>Kimende</t>
        </is>
      </c>
      <c r="AG36" s="324" t="n">
        <v>7</v>
      </c>
      <c r="AR36" t="n">
        <v>17</v>
      </c>
      <c r="AS36" t="inlineStr">
        <is>
          <t>Habib Bank A.G. Zurich</t>
        </is>
      </c>
      <c r="AT36" t="inlineStr">
        <is>
          <t>BANK17</t>
        </is>
      </c>
      <c r="AU36" t="n">
        <v>204</v>
      </c>
      <c r="AV36" t="inlineStr">
        <is>
          <t>CHANGAMWE ROAD BRANCH</t>
        </is>
      </c>
      <c r="AW36" t="n">
        <v>3</v>
      </c>
      <c r="AX36" s="4" t="n"/>
      <c r="AZ36" s="305" t="n"/>
      <c r="BA36" s="305" t="inlineStr">
        <is>
          <t>CHILE</t>
        </is>
      </c>
      <c r="BB36" s="306" t="n">
        <v>35</v>
      </c>
    </row>
    <row r="37" ht="15" customHeight="1" s="486">
      <c r="A37" t="inlineStr">
        <is>
          <t>Ten year bearer bonds</t>
        </is>
      </c>
      <c r="B37" t="n">
        <v>10</v>
      </c>
      <c r="C37" t="inlineStr">
        <is>
          <t>NP9</t>
        </is>
      </c>
      <c r="M37" s="3" t="n">
        <v>20409</v>
      </c>
      <c r="N37" t="inlineStr">
        <is>
          <t>BOITO</t>
        </is>
      </c>
      <c r="O37" t="n">
        <v>36</v>
      </c>
      <c r="P37" t="inlineStr">
        <is>
          <t>Nyeri</t>
        </is>
      </c>
      <c r="Q37" t="inlineStr">
        <is>
          <t>District36</t>
        </is>
      </c>
      <c r="R37" s="3" t="inlineStr">
        <is>
          <t>00233</t>
        </is>
      </c>
      <c r="Z37">
        <f>CONCATENATE("Local",AA37)</f>
        <v/>
      </c>
      <c r="AA37" s="323" t="n">
        <v>111</v>
      </c>
      <c r="AB37" s="323" t="inlineStr">
        <is>
          <t>Rachuonyo South District</t>
        </is>
      </c>
      <c r="AC37" s="323" t="n">
        <v>8</v>
      </c>
      <c r="AE37" s="324" t="n">
        <v>264</v>
      </c>
      <c r="AF37" s="324" t="inlineStr">
        <is>
          <t>Limuru</t>
        </is>
      </c>
      <c r="AG37" s="324" t="n">
        <v>7</v>
      </c>
      <c r="AR37" t="n">
        <v>8</v>
      </c>
      <c r="AS37" t="inlineStr">
        <is>
          <t>Habib Bank Ltd</t>
        </is>
      </c>
      <c r="AT37" t="inlineStr">
        <is>
          <t>BANK8</t>
        </is>
      </c>
      <c r="AU37" t="n">
        <v>219</v>
      </c>
      <c r="AV37" t="inlineStr">
        <is>
          <t>CHUKA BRANCH</t>
        </is>
      </c>
      <c r="AW37" t="n">
        <v>3</v>
      </c>
      <c r="AX37" s="4" t="n"/>
      <c r="AZ37" s="305" t="n"/>
      <c r="BA37" s="305" t="inlineStr">
        <is>
          <t>CHINA</t>
        </is>
      </c>
      <c r="BB37" s="306" t="n">
        <v>36</v>
      </c>
    </row>
    <row r="38" ht="15" customHeight="1" s="486">
      <c r="A38" t="inlineStr">
        <is>
          <t>Royalties</t>
        </is>
      </c>
      <c r="B38" t="n">
        <v>5</v>
      </c>
      <c r="C38" t="inlineStr">
        <is>
          <t>NP10</t>
        </is>
      </c>
      <c r="M38" s="3" t="n">
        <v>50206</v>
      </c>
      <c r="N38" t="inlineStr">
        <is>
          <t>BOKOLI</t>
        </is>
      </c>
      <c r="O38" t="n">
        <v>37</v>
      </c>
      <c r="P38" t="inlineStr">
        <is>
          <t>Samburu</t>
        </is>
      </c>
      <c r="Q38" t="inlineStr">
        <is>
          <t>District37</t>
        </is>
      </c>
      <c r="R38" s="3" t="inlineStr">
        <is>
          <t>00234</t>
        </is>
      </c>
      <c r="Z38">
        <f>CONCATENATE("Local",AA38)</f>
        <v/>
      </c>
      <c r="AA38" s="323" t="n">
        <v>109</v>
      </c>
      <c r="AB38" s="323" t="inlineStr">
        <is>
          <t>Suba District</t>
        </is>
      </c>
      <c r="AC38" s="323" t="n">
        <v>8</v>
      </c>
      <c r="AE38" s="324" t="n">
        <v>501</v>
      </c>
      <c r="AF38" s="324" t="inlineStr">
        <is>
          <t>Uplands</t>
        </is>
      </c>
      <c r="AG38" s="324" t="n">
        <v>7</v>
      </c>
      <c r="AR38" t="n">
        <v>39</v>
      </c>
      <c r="AS38" t="inlineStr">
        <is>
          <t>Imperial Bank Ltd</t>
        </is>
      </c>
      <c r="AT38" t="inlineStr">
        <is>
          <t>BANK39</t>
        </is>
      </c>
      <c r="AU38" t="n">
        <v>182</v>
      </c>
      <c r="AV38" t="inlineStr">
        <is>
          <t>DEVELOPMENT HOUSE</t>
        </is>
      </c>
      <c r="AW38" t="n">
        <v>3</v>
      </c>
      <c r="AX38" s="4" t="n"/>
      <c r="AZ38" s="305" t="n"/>
      <c r="BA38" s="305" t="inlineStr">
        <is>
          <t>COLOMBIA</t>
        </is>
      </c>
      <c r="BB38" s="306" t="n">
        <v>37</v>
      </c>
    </row>
    <row r="39" ht="15" customHeight="1" s="486">
      <c r="A39" t="inlineStr">
        <is>
          <t>Insurance Brokerage</t>
        </is>
      </c>
      <c r="B39" t="n">
        <v>10</v>
      </c>
      <c r="C39" t="inlineStr">
        <is>
          <t>NP11</t>
        </is>
      </c>
      <c r="M39" s="3" t="n">
        <v>20400</v>
      </c>
      <c r="N39" t="inlineStr">
        <is>
          <t>BOMET</t>
        </is>
      </c>
      <c r="O39" t="n">
        <v>38</v>
      </c>
      <c r="P39" t="inlineStr">
        <is>
          <t>Siaya</t>
        </is>
      </c>
      <c r="Q39" t="inlineStr">
        <is>
          <t>District38</t>
        </is>
      </c>
      <c r="R39" s="3" t="inlineStr">
        <is>
          <t>00235</t>
        </is>
      </c>
      <c r="Z39">
        <f>CONCATENATE("Local",AA39)</f>
        <v/>
      </c>
      <c r="AA39" s="323" t="n">
        <v>52</v>
      </c>
      <c r="AB39" s="323" t="inlineStr">
        <is>
          <t>Garbatula District</t>
        </is>
      </c>
      <c r="AC39" s="323" t="n">
        <v>9</v>
      </c>
      <c r="AE39" s="324" t="n">
        <v>113</v>
      </c>
      <c r="AF39" s="324" t="inlineStr">
        <is>
          <t>Githurai</t>
        </is>
      </c>
      <c r="AG39" s="324" t="n">
        <v>8</v>
      </c>
      <c r="AR39" t="n">
        <v>57</v>
      </c>
      <c r="AS39" t="inlineStr">
        <is>
          <t>Investments And Mortgages Bank Ltd</t>
        </is>
      </c>
      <c r="AT39" t="inlineStr">
        <is>
          <t>BANK57</t>
        </is>
      </c>
      <c r="AU39" t="n">
        <v>195</v>
      </c>
      <c r="AV39" t="inlineStr">
        <is>
          <t>DIANI BEACH BRANCH</t>
        </is>
      </c>
      <c r="AW39" t="n">
        <v>3</v>
      </c>
      <c r="AX39" s="4" t="n"/>
      <c r="AZ39" s="305" t="n"/>
      <c r="BA39" s="305" t="inlineStr">
        <is>
          <t>COMOROS</t>
        </is>
      </c>
      <c r="BB39" s="306" t="n">
        <v>38</v>
      </c>
    </row>
    <row r="40" ht="15" customHeight="1" s="486">
      <c r="A40" t="inlineStr">
        <is>
          <t>Commissions</t>
        </is>
      </c>
      <c r="B40" t="n">
        <v>5</v>
      </c>
      <c r="C40" t="inlineStr">
        <is>
          <t>NP12</t>
        </is>
      </c>
      <c r="M40" s="3" t="n">
        <v>20101</v>
      </c>
      <c r="N40" t="inlineStr">
        <is>
          <t>BONDENI</t>
        </is>
      </c>
      <c r="O40" t="n">
        <v>39</v>
      </c>
      <c r="P40" t="inlineStr">
        <is>
          <t>Taita/Taveta</t>
        </is>
      </c>
      <c r="Q40" t="inlineStr">
        <is>
          <t>District39</t>
        </is>
      </c>
      <c r="R40" s="3" t="inlineStr">
        <is>
          <t>00236</t>
        </is>
      </c>
      <c r="Z40">
        <f>CONCATENATE("Local",AA40)</f>
        <v/>
      </c>
      <c r="AA40" s="323" t="n">
        <v>53</v>
      </c>
      <c r="AB40" s="323" t="inlineStr">
        <is>
          <t>Isiolo District</t>
        </is>
      </c>
      <c r="AC40" s="323" t="n">
        <v>9</v>
      </c>
      <c r="AE40" s="324" t="n">
        <v>144</v>
      </c>
      <c r="AF40" s="324" t="inlineStr">
        <is>
          <t>Kahawa</t>
        </is>
      </c>
      <c r="AG40" s="324" t="n">
        <v>8</v>
      </c>
      <c r="AR40" t="n">
        <v>66</v>
      </c>
      <c r="AS40" t="inlineStr">
        <is>
          <t>K-Rep Bank Limited</t>
        </is>
      </c>
      <c r="AT40" t="inlineStr">
        <is>
          <t>BANK66</t>
        </is>
      </c>
      <c r="AU40" t="n">
        <v>154</v>
      </c>
      <c r="AV40" t="inlineStr">
        <is>
          <t>DIGO ROAD BRANCH</t>
        </is>
      </c>
      <c r="AW40" t="n">
        <v>3</v>
      </c>
      <c r="AX40" s="4" t="n"/>
      <c r="AZ40" s="305" t="n"/>
      <c r="BA40" s="305" t="inlineStr">
        <is>
          <t>CONGO, REPUBLIC OF THE</t>
        </is>
      </c>
      <c r="BB40" s="306" t="n">
        <v>39</v>
      </c>
    </row>
    <row r="41" ht="80" customHeight="1" s="486">
      <c r="A41" s="581" t="inlineStr">
        <is>
          <t>Building, civil and engineering contractual fees
(for local payments, this applies for payments
exceeding Kshs. 24,000 p.m.)</t>
        </is>
      </c>
      <c r="B41" t="n">
        <v>3</v>
      </c>
      <c r="C41" t="inlineStr">
        <is>
          <t>NP13</t>
        </is>
      </c>
      <c r="M41" s="3" t="n">
        <v>40601</v>
      </c>
      <c r="N41" t="inlineStr">
        <is>
          <t>BONDO</t>
        </is>
      </c>
      <c r="O41" t="n">
        <v>40</v>
      </c>
      <c r="P41" t="inlineStr">
        <is>
          <t>Tana River</t>
        </is>
      </c>
      <c r="Q41" t="inlineStr">
        <is>
          <t>District40</t>
        </is>
      </c>
      <c r="R41" s="3" t="inlineStr">
        <is>
          <t>00237</t>
        </is>
      </c>
      <c r="Z41">
        <f>CONCATENATE("Local",AA41)</f>
        <v/>
      </c>
      <c r="AA41" s="323" t="n">
        <v>152</v>
      </c>
      <c r="AB41" s="323" t="inlineStr">
        <is>
          <t>Kajiado Central District</t>
        </is>
      </c>
      <c r="AC41" s="323" t="n">
        <v>10</v>
      </c>
      <c r="AE41" s="324" t="n">
        <v>349</v>
      </c>
      <c r="AF41" s="324" t="inlineStr">
        <is>
          <t>Membley</t>
        </is>
      </c>
      <c r="AG41" s="324" t="n">
        <v>8</v>
      </c>
      <c r="AR41" t="n">
        <v>1</v>
      </c>
      <c r="AS41" t="inlineStr">
        <is>
          <t>Kenya Commercial Bank Ltd</t>
        </is>
      </c>
      <c r="AT41" t="inlineStr">
        <is>
          <t>BANK1</t>
        </is>
      </c>
      <c r="AU41" t="n">
        <v>186</v>
      </c>
      <c r="AV41" t="inlineStr">
        <is>
          <t>ELDAMA RAVINE BRANCH</t>
        </is>
      </c>
      <c r="AW41" t="n">
        <v>3</v>
      </c>
      <c r="AX41" s="4" t="n"/>
      <c r="AZ41" s="305" t="n"/>
      <c r="BA41" s="305" t="inlineStr">
        <is>
          <t>CONGO, DEMOCRATIC REPUBLIC OF THE</t>
        </is>
      </c>
      <c r="BB41" s="306" t="n">
        <v>40</v>
      </c>
    </row>
    <row r="42" ht="96" customHeight="1" s="486">
      <c r="A42" s="581" t="inlineStr">
        <is>
          <t>Management, consultancy, agency
professional and training fees (for local
payments, this applies for payments exceeding
Kshs. 24,000 p.m.)
(for E.A.C residents the rate is 15%)</t>
        </is>
      </c>
      <c r="B42" t="n">
        <v>5</v>
      </c>
      <c r="C42" t="inlineStr">
        <is>
          <t>NP14</t>
        </is>
      </c>
      <c r="M42" s="3" t="n">
        <v>40620</v>
      </c>
      <c r="N42" t="inlineStr">
        <is>
          <t>BORO</t>
        </is>
      </c>
      <c r="O42" t="n">
        <v>41</v>
      </c>
      <c r="P42" t="inlineStr">
        <is>
          <t>Tharaka-Nithi</t>
        </is>
      </c>
      <c r="Q42" t="inlineStr">
        <is>
          <t>District41</t>
        </is>
      </c>
      <c r="R42" s="3" t="inlineStr">
        <is>
          <t>00238</t>
        </is>
      </c>
      <c r="Z42">
        <f>CONCATENATE("Local",AA42)</f>
        <v/>
      </c>
      <c r="AA42" s="323" t="n">
        <v>151</v>
      </c>
      <c r="AB42" s="323" t="inlineStr">
        <is>
          <t>Kajiado North District</t>
        </is>
      </c>
      <c r="AC42" s="323" t="n">
        <v>10</v>
      </c>
      <c r="AE42" s="324" t="n">
        <v>452</v>
      </c>
      <c r="AF42" s="324" t="inlineStr">
        <is>
          <t>Sabatia Town</t>
        </is>
      </c>
      <c r="AG42" s="324" t="n">
        <v>8</v>
      </c>
      <c r="AR42" t="n">
        <v>18</v>
      </c>
      <c r="AS42" t="inlineStr">
        <is>
          <t>Middle East Bank Kenya Ltd</t>
        </is>
      </c>
      <c r="AT42" t="inlineStr">
        <is>
          <t>BANK18</t>
        </is>
      </c>
      <c r="AU42" t="n">
        <v>140</v>
      </c>
      <c r="AV42" t="inlineStr">
        <is>
          <t>ELDORET BRANCH</t>
        </is>
      </c>
      <c r="AW42" t="n">
        <v>3</v>
      </c>
      <c r="AX42" s="4" t="n"/>
      <c r="AZ42" s="305" t="n"/>
      <c r="BA42" s="305" t="inlineStr">
        <is>
          <t>COSTA RICA</t>
        </is>
      </c>
      <c r="BB42" s="306" t="n">
        <v>41</v>
      </c>
    </row>
    <row r="43" ht="15" customHeight="1" s="486">
      <c r="A43" t="inlineStr">
        <is>
          <t>Telecommunication Services</t>
        </is>
      </c>
      <c r="B43" t="n">
        <v>0</v>
      </c>
      <c r="C43" t="inlineStr">
        <is>
          <t>NP15</t>
        </is>
      </c>
      <c r="M43" s="3" t="n">
        <v>50415</v>
      </c>
      <c r="N43" t="inlineStr">
        <is>
          <t>BUDALANGI</t>
        </is>
      </c>
      <c r="O43" t="n">
        <v>42</v>
      </c>
      <c r="P43" t="inlineStr">
        <is>
          <t>Trans Nzoia</t>
        </is>
      </c>
      <c r="Q43" t="inlineStr">
        <is>
          <t>District42</t>
        </is>
      </c>
      <c r="R43" s="3" t="inlineStr">
        <is>
          <t>00239</t>
        </is>
      </c>
      <c r="Z43">
        <f>CONCATENATE("Local",AA43)</f>
        <v/>
      </c>
      <c r="AA43" s="323" t="n">
        <v>153</v>
      </c>
      <c r="AB43" s="323" t="inlineStr">
        <is>
          <t>Kajiado South District</t>
        </is>
      </c>
      <c r="AC43" s="323" t="n">
        <v>10</v>
      </c>
      <c r="AE43" s="324" t="n">
        <v>485</v>
      </c>
      <c r="AF43" s="324" t="inlineStr">
        <is>
          <t>Sukari</t>
        </is>
      </c>
      <c r="AG43" s="324" t="n">
        <v>8</v>
      </c>
      <c r="AR43" t="n">
        <v>12</v>
      </c>
      <c r="AS43" t="inlineStr">
        <is>
          <t>National Bank Of Kenya Ltd</t>
        </is>
      </c>
      <c r="AT43" t="inlineStr">
        <is>
          <t>BANK12</t>
        </is>
      </c>
      <c r="AU43" t="n">
        <v>141</v>
      </c>
      <c r="AV43" t="inlineStr">
        <is>
          <t>EMBU BRANCH</t>
        </is>
      </c>
      <c r="AW43" t="n">
        <v>3</v>
      </c>
      <c r="AX43" s="4" t="n"/>
      <c r="AZ43" s="305" t="n"/>
      <c r="BA43" s="305" t="inlineStr">
        <is>
          <t>COTE DIVOIRE</t>
        </is>
      </c>
      <c r="BB43" s="306" t="n">
        <v>42</v>
      </c>
    </row>
    <row r="44" ht="15" customHeight="1" s="486">
      <c r="A44" t="inlineStr">
        <is>
          <t>Shipping and airline income</t>
        </is>
      </c>
      <c r="B44" t="n">
        <v>0</v>
      </c>
      <c r="C44" t="inlineStr">
        <is>
          <t>NP16</t>
        </is>
      </c>
      <c r="M44" s="3" t="n">
        <v>30702</v>
      </c>
      <c r="N44" t="inlineStr">
        <is>
          <t>BUGAR</t>
        </is>
      </c>
      <c r="O44" t="n">
        <v>43</v>
      </c>
      <c r="P44" t="inlineStr">
        <is>
          <t>Turkana</t>
        </is>
      </c>
      <c r="Q44" t="inlineStr">
        <is>
          <t>District43</t>
        </is>
      </c>
      <c r="R44" s="3" t="inlineStr">
        <is>
          <t>00240</t>
        </is>
      </c>
      <c r="Z44">
        <f>CONCATENATE("Local",AA44)</f>
        <v/>
      </c>
      <c r="AA44" s="323" t="n">
        <v>150</v>
      </c>
      <c r="AB44" s="323" t="inlineStr">
        <is>
          <t>Loitoktok District</t>
        </is>
      </c>
      <c r="AC44" s="323" t="n">
        <v>10</v>
      </c>
      <c r="AE44" s="324" t="n">
        <v>497</v>
      </c>
      <c r="AF44" s="324" t="inlineStr">
        <is>
          <t>Toll</t>
        </is>
      </c>
      <c r="AG44" s="324" t="n">
        <v>8</v>
      </c>
      <c r="AR44" t="n">
        <v>41</v>
      </c>
      <c r="AS44" t="inlineStr">
        <is>
          <t>National Industrial Credit Bank Ltd</t>
        </is>
      </c>
      <c r="AT44" t="inlineStr">
        <is>
          <t>BANK41</t>
        </is>
      </c>
      <c r="AU44" t="n">
        <v>202</v>
      </c>
      <c r="AV44" t="inlineStr">
        <is>
          <t>ENTERP. ROAD/RAHIMTULL</t>
        </is>
      </c>
      <c r="AW44" t="n">
        <v>3</v>
      </c>
      <c r="AX44" s="4" t="n"/>
      <c r="AZ44" s="305" t="n"/>
      <c r="BA44" s="305" t="inlineStr">
        <is>
          <t>CROATIA</t>
        </is>
      </c>
      <c r="BB44" s="306" t="n">
        <v>43</v>
      </c>
    </row>
    <row r="45" ht="15" customHeight="1" s="486">
      <c r="A45" t="inlineStr">
        <is>
          <t>Entertainment and Sport Fees</t>
        </is>
      </c>
      <c r="B45" t="n">
        <v>0</v>
      </c>
      <c r="C45" t="inlineStr">
        <is>
          <t>NP17</t>
        </is>
      </c>
      <c r="M45" s="3" t="n">
        <v>50416</v>
      </c>
      <c r="N45" t="inlineStr">
        <is>
          <t>BUHUYI</t>
        </is>
      </c>
      <c r="O45" t="n">
        <v>44</v>
      </c>
      <c r="P45" t="inlineStr">
        <is>
          <t>Uasin Gishu</t>
        </is>
      </c>
      <c r="Q45" t="inlineStr">
        <is>
          <t>District44</t>
        </is>
      </c>
      <c r="R45" s="3" t="inlineStr">
        <is>
          <t>00242</t>
        </is>
      </c>
      <c r="Z45">
        <f>CONCATENATE("Local",AA45)</f>
        <v/>
      </c>
      <c r="AA45" s="323" t="n">
        <v>204</v>
      </c>
      <c r="AB45" s="323" t="inlineStr">
        <is>
          <t>Butere District</t>
        </is>
      </c>
      <c r="AC45" s="323" t="n">
        <v>11</v>
      </c>
      <c r="AE45" s="324" t="n">
        <v>517</v>
      </c>
      <c r="AF45" s="324" t="inlineStr">
        <is>
          <t>Wendani</t>
        </is>
      </c>
      <c r="AG45" s="324" t="n">
        <v>8</v>
      </c>
      <c r="AR45" t="n">
        <v>14</v>
      </c>
      <c r="AS45" t="inlineStr">
        <is>
          <t>Oriental Commercial Bank</t>
        </is>
      </c>
      <c r="AT45" t="inlineStr">
        <is>
          <t>BANK14</t>
        </is>
      </c>
      <c r="AU45" t="n">
        <v>169</v>
      </c>
      <c r="AV45" t="inlineStr">
        <is>
          <t>GARISSA BRANCH</t>
        </is>
      </c>
      <c r="AW45" t="n">
        <v>3</v>
      </c>
      <c r="AX45" s="4" t="n"/>
      <c r="AZ45" s="305" t="n"/>
      <c r="BA45" s="305" t="inlineStr">
        <is>
          <t>CUBA</t>
        </is>
      </c>
      <c r="BB45" s="306" t="n">
        <v>44</v>
      </c>
    </row>
    <row r="46" ht="15" customHeight="1" s="486">
      <c r="A46" t="inlineStr">
        <is>
          <t>Pension withdrawals (graduated rates)</t>
        </is>
      </c>
      <c r="B46" s="3" t="inlineStr">
        <is>
          <t>10-30</t>
        </is>
      </c>
      <c r="C46" t="inlineStr">
        <is>
          <t>NP18</t>
        </is>
      </c>
      <c r="M46" s="3" t="n">
        <v>50233</v>
      </c>
      <c r="N46" t="inlineStr">
        <is>
          <t>BUKEBE</t>
        </is>
      </c>
      <c r="O46" t="n">
        <v>45</v>
      </c>
      <c r="P46" t="inlineStr">
        <is>
          <t>Vihiga</t>
        </is>
      </c>
      <c r="Q46" t="inlineStr">
        <is>
          <t>District45</t>
        </is>
      </c>
      <c r="R46" s="3" t="inlineStr">
        <is>
          <t>00300</t>
        </is>
      </c>
      <c r="Z46">
        <f>CONCATENATE("Local",AA46)</f>
        <v/>
      </c>
      <c r="AA46" s="323" t="n">
        <v>205</v>
      </c>
      <c r="AB46" s="323" t="inlineStr">
        <is>
          <t>Kakamega Central District</t>
        </is>
      </c>
      <c r="AC46" s="323" t="n">
        <v>11</v>
      </c>
      <c r="AE46" s="324" t="n">
        <v>98</v>
      </c>
      <c r="AF46" s="324" t="inlineStr">
        <is>
          <t>Gatuanyaga</t>
        </is>
      </c>
      <c r="AG46" s="324" t="n">
        <v>9</v>
      </c>
      <c r="AR46" t="n">
        <v>50</v>
      </c>
      <c r="AS46" t="inlineStr">
        <is>
          <t xml:space="preserve">Paramount Un. Bank </t>
        </is>
      </c>
      <c r="AT46" t="inlineStr">
        <is>
          <t>BANK50</t>
        </is>
      </c>
      <c r="AU46" t="n">
        <v>161</v>
      </c>
      <c r="AV46" t="inlineStr">
        <is>
          <t>GITHURAI</t>
        </is>
      </c>
      <c r="AW46" t="n">
        <v>3</v>
      </c>
      <c r="AX46" s="4" t="n"/>
      <c r="AZ46" s="305" t="n"/>
      <c r="BA46" s="305" t="inlineStr">
        <is>
          <t>CYPRUS</t>
        </is>
      </c>
      <c r="BB46" s="306" t="n">
        <v>45</v>
      </c>
    </row>
    <row r="47" ht="15" customHeight="1" s="486">
      <c r="B47" s="3" t="n"/>
      <c r="D47" s="6" t="n"/>
      <c r="M47" s="3" t="n">
        <v>50417</v>
      </c>
      <c r="N47" t="inlineStr">
        <is>
          <t>BUKIRI</t>
        </is>
      </c>
      <c r="O47" t="n">
        <v>46</v>
      </c>
      <c r="P47" t="inlineStr">
        <is>
          <t>Wajir</t>
        </is>
      </c>
      <c r="Q47" t="inlineStr">
        <is>
          <t>District46</t>
        </is>
      </c>
      <c r="R47" s="3" t="inlineStr">
        <is>
          <t>00400</t>
        </is>
      </c>
      <c r="Z47">
        <f>CONCATENATE("Local",AA47)</f>
        <v/>
      </c>
      <c r="AA47" s="323" t="n">
        <v>206</v>
      </c>
      <c r="AB47" s="323" t="inlineStr">
        <is>
          <t>Kakamega East District</t>
        </is>
      </c>
      <c r="AC47" s="323" t="n">
        <v>11</v>
      </c>
      <c r="AE47" s="324" t="n">
        <v>303</v>
      </c>
      <c r="AF47" s="324" t="inlineStr">
        <is>
          <t>Makutano</t>
        </is>
      </c>
      <c r="AG47" s="324" t="n">
        <v>9</v>
      </c>
      <c r="AR47" t="n">
        <v>10</v>
      </c>
      <c r="AS47" t="inlineStr">
        <is>
          <t>Prime Bank Limited</t>
        </is>
      </c>
      <c r="AT47" t="inlineStr">
        <is>
          <t>BANK10</t>
        </is>
      </c>
      <c r="AU47" t="n">
        <v>212</v>
      </c>
      <c r="AV47" t="inlineStr">
        <is>
          <t>HAILE SELASSIE AVENUE BRANCH</t>
        </is>
      </c>
      <c r="AW47" t="n">
        <v>3</v>
      </c>
      <c r="AX47" s="4" t="n"/>
      <c r="AZ47" s="305" t="n"/>
      <c r="BA47" s="305" t="inlineStr">
        <is>
          <t>CZECH REPUBLIC</t>
        </is>
      </c>
      <c r="BB47" s="306" t="n">
        <v>46</v>
      </c>
    </row>
    <row r="48" ht="15" customHeight="1" s="486">
      <c r="A48" t="inlineStr">
        <is>
          <t>rtnYear</t>
        </is>
      </c>
      <c r="M48" s="3" t="n">
        <v>50105</v>
      </c>
      <c r="N48" t="inlineStr">
        <is>
          <t>BUKURA</t>
        </is>
      </c>
      <c r="O48" t="n">
        <v>47</v>
      </c>
      <c r="P48" t="inlineStr">
        <is>
          <t>West Pokot</t>
        </is>
      </c>
      <c r="Q48" t="inlineStr">
        <is>
          <t>District47</t>
        </is>
      </c>
      <c r="R48" s="3" t="inlineStr">
        <is>
          <t>00500</t>
        </is>
      </c>
      <c r="Z48">
        <f>CONCATENATE("Local",AA48)</f>
        <v/>
      </c>
      <c r="AA48" s="323" t="n">
        <v>207</v>
      </c>
      <c r="AB48" s="323" t="inlineStr">
        <is>
          <t>Kakamega North District</t>
        </is>
      </c>
      <c r="AC48" s="323" t="n">
        <v>11</v>
      </c>
      <c r="AE48" s="324" t="n">
        <v>132</v>
      </c>
      <c r="AF48" s="324" t="inlineStr">
        <is>
          <t>Juja</t>
        </is>
      </c>
      <c r="AG48" s="324" t="n">
        <v>10</v>
      </c>
      <c r="AR48" t="n">
        <v>338</v>
      </c>
      <c r="AS48" t="inlineStr">
        <is>
          <t>Punjab National Bank</t>
        </is>
      </c>
      <c r="AT48" t="inlineStr">
        <is>
          <t>blank</t>
        </is>
      </c>
      <c r="AU48" t="n">
        <v>160</v>
      </c>
      <c r="AV48" t="inlineStr">
        <is>
          <t>HARAMBEE AVENUE</t>
        </is>
      </c>
      <c r="AW48" t="n">
        <v>3</v>
      </c>
      <c r="AX48" s="4" t="n"/>
      <c r="AZ48" s="305" t="n"/>
      <c r="BA48" s="305" t="inlineStr">
        <is>
          <t>DENMARK</t>
        </is>
      </c>
      <c r="BB48" s="306" t="n">
        <v>47</v>
      </c>
    </row>
    <row r="49">
      <c r="A49" t="n">
        <v>2001</v>
      </c>
      <c r="M49" s="3" t="n">
        <v>50109</v>
      </c>
      <c r="N49" t="inlineStr">
        <is>
          <t>BULIMBO</t>
        </is>
      </c>
      <c r="R49" s="3" t="inlineStr">
        <is>
          <t>00501</t>
        </is>
      </c>
      <c r="Z49">
        <f>CONCATENATE("Local",AA49)</f>
        <v/>
      </c>
      <c r="AA49" s="323" t="n">
        <v>208</v>
      </c>
      <c r="AB49" s="323" t="inlineStr">
        <is>
          <t>Kakamega South District</t>
        </is>
      </c>
      <c r="AC49" s="323" t="n">
        <v>11</v>
      </c>
      <c r="AE49" s="324" t="n">
        <v>413</v>
      </c>
      <c r="AF49" s="324" t="inlineStr">
        <is>
          <t>Ndarugo</t>
        </is>
      </c>
      <c r="AG49" s="324" t="n">
        <v>10</v>
      </c>
      <c r="AR49" t="n">
        <v>58</v>
      </c>
      <c r="AS49" t="inlineStr">
        <is>
          <t>Southern Credit Banking Corp Ltd</t>
        </is>
      </c>
      <c r="AT49" t="inlineStr">
        <is>
          <t>BANK58</t>
        </is>
      </c>
      <c r="AU49" t="n">
        <v>138</v>
      </c>
      <c r="AV49" t="inlineStr">
        <is>
          <t>HEAD OFFICE</t>
        </is>
      </c>
      <c r="AW49" t="n">
        <v>3</v>
      </c>
      <c r="AX49" s="4" t="n"/>
      <c r="AZ49" s="305" t="n"/>
      <c r="BA49" s="305" t="inlineStr">
        <is>
          <t>DJIBOUTI</t>
        </is>
      </c>
      <c r="BB49" s="306" t="n">
        <v>48</v>
      </c>
    </row>
    <row r="50">
      <c r="A50" t="n">
        <v>2002</v>
      </c>
      <c r="M50" s="3" t="n">
        <v>50404</v>
      </c>
      <c r="N50" t="inlineStr">
        <is>
          <t>BUMALA</t>
        </is>
      </c>
      <c r="R50" s="3" t="inlineStr">
        <is>
          <t>00502</t>
        </is>
      </c>
      <c r="Z50">
        <f>CONCATENATE("Local",AA50)</f>
        <v/>
      </c>
      <c r="AA50" s="323" t="n">
        <v>209</v>
      </c>
      <c r="AB50" s="323" t="inlineStr">
        <is>
          <t>Lugari District</t>
        </is>
      </c>
      <c r="AC50" s="323" t="n">
        <v>11</v>
      </c>
      <c r="AE50" s="324" t="n">
        <v>520</v>
      </c>
      <c r="AF50" s="324" t="inlineStr">
        <is>
          <t>Witeithie</t>
        </is>
      </c>
      <c r="AG50" s="324" t="n">
        <v>10</v>
      </c>
      <c r="AR50" t="n">
        <v>31</v>
      </c>
      <c r="AS50" t="inlineStr">
        <is>
          <t>Stanbic Bank Kenya Ltd</t>
        </is>
      </c>
      <c r="AT50" t="inlineStr">
        <is>
          <t>BANK31</t>
        </is>
      </c>
      <c r="AU50" t="n">
        <v>170</v>
      </c>
      <c r="AV50" t="inlineStr">
        <is>
          <t>HOMA BAY BRANCH</t>
        </is>
      </c>
      <c r="AW50" t="n">
        <v>3</v>
      </c>
      <c r="AX50" s="4" t="n"/>
      <c r="AZ50" s="305" t="n"/>
      <c r="BA50" s="305" t="inlineStr">
        <is>
          <t>DOMINICA</t>
        </is>
      </c>
      <c r="BB50" s="306" t="n">
        <v>49</v>
      </c>
    </row>
    <row r="51">
      <c r="A51" t="n">
        <v>2003</v>
      </c>
      <c r="M51" s="3" t="n">
        <v>50418</v>
      </c>
      <c r="N51" t="inlineStr">
        <is>
          <t>BUMUTIRU</t>
        </is>
      </c>
      <c r="R51" s="3" t="inlineStr">
        <is>
          <t>00503</t>
        </is>
      </c>
      <c r="Z51">
        <f>CONCATENATE("Local",AA51)</f>
        <v/>
      </c>
      <c r="AA51" s="323" t="n">
        <v>203</v>
      </c>
      <c r="AB51" s="323" t="inlineStr">
        <is>
          <t>Mumias District</t>
        </is>
      </c>
      <c r="AC51" s="323" t="n">
        <v>11</v>
      </c>
      <c r="AE51" s="324" t="n">
        <v>524</v>
      </c>
      <c r="AF51" s="324" t="inlineStr">
        <is>
          <t>Lari</t>
        </is>
      </c>
      <c r="AG51" s="324" t="n">
        <v>11</v>
      </c>
      <c r="AR51" t="n">
        <v>2</v>
      </c>
      <c r="AS51" t="inlineStr">
        <is>
          <t>Standard Chartered Bank Kenya Ltd</t>
        </is>
      </c>
      <c r="AT51" t="inlineStr">
        <is>
          <t>BANK2</t>
        </is>
      </c>
      <c r="AU51" t="n">
        <v>180</v>
      </c>
      <c r="AV51" t="inlineStr">
        <is>
          <t>HURLINGHAM BRANCH</t>
        </is>
      </c>
      <c r="AW51" t="n">
        <v>3</v>
      </c>
      <c r="AX51" s="4" t="n"/>
      <c r="AZ51" s="305" t="n"/>
      <c r="BA51" s="305" t="inlineStr">
        <is>
          <t>DOMINICAN REPUBLIC</t>
        </is>
      </c>
      <c r="BB51" s="306" t="n">
        <v>50</v>
      </c>
    </row>
    <row r="52">
      <c r="A52" t="n">
        <v>2004</v>
      </c>
      <c r="M52" s="3" t="n">
        <v>50200</v>
      </c>
      <c r="N52" t="inlineStr">
        <is>
          <t>BUNGOMA</t>
        </is>
      </c>
      <c r="R52" s="3" t="inlineStr">
        <is>
          <t>00504</t>
        </is>
      </c>
      <c r="Z52">
        <f>CONCATENATE("Local",AA52)</f>
        <v/>
      </c>
      <c r="AA52" s="323" t="n">
        <v>154</v>
      </c>
      <c r="AB52" s="323" t="inlineStr">
        <is>
          <t>Kericho District</t>
        </is>
      </c>
      <c r="AC52" s="323" t="n">
        <v>12</v>
      </c>
      <c r="AE52" s="324" t="n">
        <v>162</v>
      </c>
      <c r="AF52" s="324" t="inlineStr">
        <is>
          <t>Kangaita</t>
        </is>
      </c>
      <c r="AG52" s="324" t="n">
        <v>12</v>
      </c>
      <c r="AR52" t="n">
        <v>340</v>
      </c>
      <c r="AS52" t="inlineStr">
        <is>
          <t>Test BM</t>
        </is>
      </c>
      <c r="AT52" t="inlineStr">
        <is>
          <t>blank</t>
        </is>
      </c>
      <c r="AU52" t="n">
        <v>177</v>
      </c>
      <c r="AV52" t="inlineStr">
        <is>
          <t>ISIOLO</t>
        </is>
      </c>
      <c r="AW52" t="n">
        <v>3</v>
      </c>
      <c r="AX52" s="4" t="n"/>
      <c r="AZ52" s="305" t="n"/>
      <c r="BA52" s="305" t="inlineStr">
        <is>
          <t>EAST TIMOR</t>
        </is>
      </c>
      <c r="BB52" s="306" t="n">
        <v>51</v>
      </c>
    </row>
    <row r="53">
      <c r="A53" t="n">
        <v>2005</v>
      </c>
      <c r="M53" s="3" t="n">
        <v>50301</v>
      </c>
      <c r="N53" t="inlineStr">
        <is>
          <t>BUNYORE</t>
        </is>
      </c>
      <c r="R53" s="3" t="inlineStr">
        <is>
          <t>00505</t>
        </is>
      </c>
      <c r="Z53">
        <f>CONCATENATE("Local",AA53)</f>
        <v/>
      </c>
      <c r="AA53" s="323" t="n">
        <v>155</v>
      </c>
      <c r="AB53" s="323" t="inlineStr">
        <is>
          <t>Kipkelion District</t>
        </is>
      </c>
      <c r="AC53" s="323" t="n">
        <v>12</v>
      </c>
      <c r="AE53" s="324" t="n">
        <v>193</v>
      </c>
      <c r="AF53" s="324" t="inlineStr">
        <is>
          <t>Kerugoya</t>
        </is>
      </c>
      <c r="AG53" s="324" t="n">
        <v>12</v>
      </c>
      <c r="AR53" t="n">
        <v>26</v>
      </c>
      <c r="AS53" t="inlineStr">
        <is>
          <t>Trans-National Bank Ltd</t>
        </is>
      </c>
      <c r="AT53" t="inlineStr">
        <is>
          <t>BANK26</t>
        </is>
      </c>
      <c r="AU53" t="n">
        <v>181</v>
      </c>
      <c r="AV53" t="inlineStr">
        <is>
          <t>ISIOLO BRANCH</t>
        </is>
      </c>
      <c r="AW53" t="n">
        <v>3</v>
      </c>
      <c r="AX53" s="4" t="n"/>
      <c r="AZ53" s="305" t="n"/>
      <c r="BA53" s="305" t="inlineStr">
        <is>
          <t>ECUADOR</t>
        </is>
      </c>
      <c r="BB53" s="306" t="n">
        <v>52</v>
      </c>
    </row>
    <row r="54">
      <c r="A54" t="n">
        <v>2006</v>
      </c>
      <c r="M54" s="3" t="n">
        <v>70104</v>
      </c>
      <c r="N54" t="inlineStr">
        <is>
          <t>BURA TANA</t>
        </is>
      </c>
      <c r="R54" s="3" t="inlineStr">
        <is>
          <t>00506</t>
        </is>
      </c>
      <c r="Z54">
        <f>CONCATENATE("Local",AA54)</f>
        <v/>
      </c>
      <c r="AA54" s="323" t="n">
        <v>1</v>
      </c>
      <c r="AB54" s="323" t="inlineStr">
        <is>
          <t>Gatundu District</t>
        </is>
      </c>
      <c r="AC54" s="323" t="n">
        <v>13</v>
      </c>
      <c r="AE54" s="324" t="n">
        <v>202</v>
      </c>
      <c r="AF54" s="324" t="inlineStr">
        <is>
          <t>Kiamuruga</t>
        </is>
      </c>
      <c r="AG54" s="324" t="n">
        <v>12</v>
      </c>
      <c r="AR54" t="n">
        <v>54</v>
      </c>
      <c r="AS54" t="inlineStr">
        <is>
          <t>Victoria Commercial Bank Ltd</t>
        </is>
      </c>
      <c r="AT54" t="inlineStr">
        <is>
          <t>blank</t>
        </is>
      </c>
      <c r="AU54" t="n">
        <v>201</v>
      </c>
      <c r="AV54" t="inlineStr">
        <is>
          <t>J.K.I.A. BRANCH</t>
        </is>
      </c>
      <c r="AW54" t="n">
        <v>3</v>
      </c>
      <c r="AX54" s="4" t="n"/>
      <c r="AZ54" s="305" t="n"/>
      <c r="BA54" s="305" t="inlineStr">
        <is>
          <t>EGYPT</t>
        </is>
      </c>
      <c r="BB54" s="306" t="n">
        <v>53</v>
      </c>
    </row>
    <row r="55">
      <c r="A55" t="n">
        <v>2007</v>
      </c>
      <c r="M55" s="3" t="n">
        <v>30102</v>
      </c>
      <c r="N55" t="inlineStr">
        <is>
          <t>BURNT FOREST</t>
        </is>
      </c>
      <c r="R55" s="3" t="inlineStr">
        <is>
          <t>00507</t>
        </is>
      </c>
      <c r="Z55">
        <f>CONCATENATE("Local",AA55)</f>
        <v/>
      </c>
      <c r="AA55" s="323" t="n">
        <v>2</v>
      </c>
      <c r="AB55" s="323" t="inlineStr">
        <is>
          <t>Githunguri District</t>
        </is>
      </c>
      <c r="AC55" s="323" t="n">
        <v>13</v>
      </c>
      <c r="AE55" s="324" t="n">
        <v>210</v>
      </c>
      <c r="AF55" s="324" t="inlineStr">
        <is>
          <t>Kiaritha</t>
        </is>
      </c>
      <c r="AG55" s="324" t="n">
        <v>12</v>
      </c>
      <c r="AU55" t="n">
        <v>187</v>
      </c>
      <c r="AV55" t="inlineStr">
        <is>
          <t>KAKAMEGA BRANCH</t>
        </is>
      </c>
      <c r="AW55" t="n">
        <v>3</v>
      </c>
      <c r="AX55" s="4" t="n"/>
      <c r="AZ55" s="305" t="n"/>
      <c r="BA55" s="305" t="inlineStr">
        <is>
          <t>EL SALVADOR</t>
        </is>
      </c>
      <c r="BB55" s="306" t="n">
        <v>54</v>
      </c>
    </row>
    <row r="56">
      <c r="A56" t="n">
        <v>2008</v>
      </c>
      <c r="M56" s="3" t="inlineStr">
        <is>
          <t>00515</t>
        </is>
      </c>
      <c r="N56" t="inlineStr">
        <is>
          <t>BURU BURU</t>
        </is>
      </c>
      <c r="R56" s="3" t="inlineStr">
        <is>
          <t>00508</t>
        </is>
      </c>
      <c r="Z56">
        <f>CONCATENATE("Local",AA56)</f>
        <v/>
      </c>
      <c r="AA56" s="323" t="n">
        <v>3</v>
      </c>
      <c r="AB56" s="323" t="inlineStr">
        <is>
          <t>Kabete District</t>
        </is>
      </c>
      <c r="AC56" s="323" t="n">
        <v>13</v>
      </c>
      <c r="AE56" s="324" t="n">
        <v>415</v>
      </c>
      <c r="AF56" s="324" t="inlineStr">
        <is>
          <t>Ndima</t>
        </is>
      </c>
      <c r="AG56" s="324" t="n">
        <v>12</v>
      </c>
      <c r="AU56" t="n">
        <v>190</v>
      </c>
      <c r="AV56" t="inlineStr">
        <is>
          <t>KAPSABET BRANCH</t>
        </is>
      </c>
      <c r="AW56" t="n">
        <v>3</v>
      </c>
      <c r="AX56" s="4" t="n"/>
      <c r="AZ56" s="305" t="n"/>
      <c r="BA56" s="305" t="inlineStr">
        <is>
          <t>EQUATORIAL GUINEA</t>
        </is>
      </c>
      <c r="BB56" s="306" t="n">
        <v>55</v>
      </c>
    </row>
    <row r="57">
      <c r="A57" t="n">
        <v>2009</v>
      </c>
      <c r="M57" s="3" t="n">
        <v>50400</v>
      </c>
      <c r="N57" t="inlineStr">
        <is>
          <t>BUSIA</t>
        </is>
      </c>
      <c r="R57" s="3" t="inlineStr">
        <is>
          <t>00509</t>
        </is>
      </c>
      <c r="Z57">
        <f>CONCATENATE("Local",AA57)</f>
        <v/>
      </c>
      <c r="AA57" s="323" t="n">
        <v>4</v>
      </c>
      <c r="AB57" s="323" t="inlineStr">
        <is>
          <t>Kandara District</t>
        </is>
      </c>
      <c r="AC57" s="323" t="n">
        <v>13</v>
      </c>
      <c r="AE57" s="324" t="n">
        <v>99</v>
      </c>
      <c r="AF57" s="324" t="inlineStr">
        <is>
          <t>Gatugura</t>
        </is>
      </c>
      <c r="AG57" s="324" t="n">
        <v>13</v>
      </c>
      <c r="AU57" t="n">
        <v>143</v>
      </c>
      <c r="AV57" t="inlineStr">
        <is>
          <t>KARATINA BRANCH</t>
        </is>
      </c>
      <c r="AW57" t="n">
        <v>3</v>
      </c>
      <c r="AX57" s="4" t="n"/>
      <c r="AZ57" s="305" t="n"/>
      <c r="BA57" s="305" t="inlineStr">
        <is>
          <t>ERITREA</t>
        </is>
      </c>
      <c r="BB57" s="306" t="n">
        <v>56</v>
      </c>
    </row>
    <row r="58">
      <c r="A58" t="n">
        <v>2010</v>
      </c>
      <c r="M58" s="3" t="n">
        <v>50101</v>
      </c>
      <c r="N58" t="inlineStr">
        <is>
          <t>BUTERE</t>
        </is>
      </c>
      <c r="R58" s="3" t="inlineStr">
        <is>
          <t>00510</t>
        </is>
      </c>
      <c r="Z58">
        <f>CONCATENATE("Local",AA58)</f>
        <v/>
      </c>
      <c r="AA58" s="323" t="n">
        <v>5</v>
      </c>
      <c r="AB58" s="323" t="inlineStr">
        <is>
          <t>Kiambaa District</t>
        </is>
      </c>
      <c r="AC58" s="323" t="n">
        <v>13</v>
      </c>
      <c r="AE58" s="324" t="n">
        <v>159</v>
      </c>
      <c r="AF58" s="324" t="inlineStr">
        <is>
          <t>Kamweti</t>
        </is>
      </c>
      <c r="AG58" s="324" t="n">
        <v>13</v>
      </c>
      <c r="AU58" t="n">
        <v>197</v>
      </c>
      <c r="AV58" t="inlineStr">
        <is>
          <t>KAREN BRANCH</t>
        </is>
      </c>
      <c r="AW58" t="n">
        <v>3</v>
      </c>
      <c r="AX58" s="4" t="n"/>
      <c r="AZ58" s="305" t="n"/>
      <c r="BA58" s="305" t="inlineStr">
        <is>
          <t>ESTONIA</t>
        </is>
      </c>
      <c r="BB58" s="306" t="n">
        <v>57</v>
      </c>
    </row>
    <row r="59">
      <c r="A59" t="n">
        <v>2011</v>
      </c>
      <c r="M59" s="3" t="n">
        <v>50405</v>
      </c>
      <c r="N59" t="inlineStr">
        <is>
          <t>BUTULA</t>
        </is>
      </c>
      <c r="R59" s="3" t="inlineStr">
        <is>
          <t>00511</t>
        </is>
      </c>
      <c r="Z59">
        <f>CONCATENATE("Local",AA59)</f>
        <v/>
      </c>
      <c r="AA59" s="323" t="n">
        <v>6</v>
      </c>
      <c r="AB59" s="323" t="inlineStr">
        <is>
          <t>Kiambu East District</t>
        </is>
      </c>
      <c r="AC59" s="323" t="n">
        <v>13</v>
      </c>
      <c r="AE59" s="324" t="n">
        <v>203</v>
      </c>
      <c r="AF59" s="324" t="inlineStr">
        <is>
          <t>Kiamutugu</t>
        </is>
      </c>
      <c r="AG59" s="324" t="n">
        <v>13</v>
      </c>
      <c r="AU59" t="n">
        <v>196</v>
      </c>
      <c r="AV59" t="inlineStr">
        <is>
          <t>KENYATTA AVENUE BRANCH</t>
        </is>
      </c>
      <c r="AW59" t="n">
        <v>3</v>
      </c>
      <c r="AX59" s="4" t="n"/>
      <c r="AZ59" s="305" t="n"/>
      <c r="BA59" s="305" t="inlineStr">
        <is>
          <t>ETHIOPIA</t>
        </is>
      </c>
      <c r="BB59" s="306" t="n">
        <v>58</v>
      </c>
    </row>
    <row r="60">
      <c r="A60" t="n">
        <v>2012</v>
      </c>
      <c r="M60" s="3" t="n">
        <v>50210</v>
      </c>
      <c r="N60" t="inlineStr">
        <is>
          <t>BUYOFU</t>
        </is>
      </c>
      <c r="R60" s="3" t="inlineStr">
        <is>
          <t>00512</t>
        </is>
      </c>
      <c r="Z60">
        <f>CONCATENATE("Local",AA60)</f>
        <v/>
      </c>
      <c r="AA60" s="323" t="n">
        <v>7</v>
      </c>
      <c r="AB60" s="323" t="inlineStr">
        <is>
          <t>Kiambu West District</t>
        </is>
      </c>
      <c r="AC60" s="323" t="n">
        <v>13</v>
      </c>
      <c r="AE60" s="324" t="n">
        <v>209</v>
      </c>
      <c r="AF60" s="324" t="inlineStr">
        <is>
          <t>Kianyaga</t>
        </is>
      </c>
      <c r="AG60" s="324" t="n">
        <v>13</v>
      </c>
      <c r="AU60" t="n">
        <v>144</v>
      </c>
      <c r="AV60" t="inlineStr">
        <is>
          <t>KERICHO BRANCH</t>
        </is>
      </c>
      <c r="AW60" t="n">
        <v>3</v>
      </c>
      <c r="AX60" s="4" t="n"/>
      <c r="AZ60" s="305" t="n"/>
      <c r="BA60" s="305" t="inlineStr">
        <is>
          <t>FIJI</t>
        </is>
      </c>
      <c r="BB60" s="306" t="n">
        <v>59</v>
      </c>
    </row>
    <row r="61">
      <c r="A61" t="n">
        <v>2013</v>
      </c>
      <c r="F61" t="inlineStr">
        <is>
          <t>Item Category</t>
        </is>
      </c>
      <c r="M61" s="3" t="n">
        <v>50302</v>
      </c>
      <c r="N61" t="inlineStr">
        <is>
          <t>CHAMAKHANGA</t>
        </is>
      </c>
      <c r="R61" s="3" t="inlineStr">
        <is>
          <t>00513</t>
        </is>
      </c>
      <c r="Z61">
        <f>CONCATENATE("Local",AA61)</f>
        <v/>
      </c>
      <c r="AA61" s="323" t="n">
        <v>11</v>
      </c>
      <c r="AB61" s="323" t="inlineStr">
        <is>
          <t>Lari District</t>
        </is>
      </c>
      <c r="AC61" s="323" t="n">
        <v>13</v>
      </c>
      <c r="AE61" s="324" t="n">
        <v>227</v>
      </c>
      <c r="AF61" s="324" t="inlineStr">
        <is>
          <t>Kimunye</t>
        </is>
      </c>
      <c r="AG61" s="324" t="n">
        <v>13</v>
      </c>
      <c r="AU61" t="n">
        <v>168</v>
      </c>
      <c r="AV61" t="inlineStr">
        <is>
          <t>KERUGOYA BRANCH</t>
        </is>
      </c>
      <c r="AW61" t="n">
        <v>3</v>
      </c>
      <c r="AX61" s="4" t="n"/>
      <c r="AZ61" s="305" t="n"/>
      <c r="BA61" s="305" t="inlineStr">
        <is>
          <t>FINLAND</t>
        </is>
      </c>
      <c r="BB61" s="306" t="n">
        <v>60</v>
      </c>
    </row>
    <row r="62">
      <c r="A62" t="n">
        <v>2014</v>
      </c>
      <c r="F62" t="inlineStr">
        <is>
          <t>Machinery</t>
        </is>
      </c>
      <c r="M62" s="3" t="n">
        <v>80102</v>
      </c>
      <c r="N62" t="inlineStr">
        <is>
          <t>CHANGAMWE</t>
        </is>
      </c>
      <c r="R62" s="3" t="inlineStr">
        <is>
          <t>00514</t>
        </is>
      </c>
      <c r="Z62">
        <f>CONCATENATE("Local",AA62)</f>
        <v/>
      </c>
      <c r="AA62" s="323" t="n">
        <v>8</v>
      </c>
      <c r="AB62" s="323" t="inlineStr">
        <is>
          <t>Ruiru District</t>
        </is>
      </c>
      <c r="AC62" s="323" t="n">
        <v>13</v>
      </c>
      <c r="AE62" s="324" t="n">
        <v>256</v>
      </c>
      <c r="AF62" s="324" t="inlineStr">
        <is>
          <t>Kutus</t>
        </is>
      </c>
      <c r="AG62" s="324" t="n">
        <v>13</v>
      </c>
      <c r="AU62" t="n">
        <v>157</v>
      </c>
      <c r="AV62" t="inlineStr">
        <is>
          <t>KIAMBU BRANCH</t>
        </is>
      </c>
      <c r="AW62" t="n">
        <v>3</v>
      </c>
      <c r="AX62" s="4" t="n"/>
      <c r="AZ62" s="305" t="n"/>
      <c r="BA62" s="305" t="inlineStr">
        <is>
          <t>FRANCE</t>
        </is>
      </c>
      <c r="BB62" s="306" t="n">
        <v>61</v>
      </c>
    </row>
    <row r="63">
      <c r="A63" t="n">
        <v>2015</v>
      </c>
      <c r="F63" t="inlineStr">
        <is>
          <t>Indefeasible Right</t>
        </is>
      </c>
      <c r="M63" s="3" t="n">
        <v>50317</v>
      </c>
      <c r="N63" t="inlineStr">
        <is>
          <t>CHAVAKALI</t>
        </is>
      </c>
      <c r="R63" s="3" t="inlineStr">
        <is>
          <t>00515</t>
        </is>
      </c>
      <c r="Z63">
        <f>CONCATENATE("Local",AA63)</f>
        <v/>
      </c>
      <c r="AA63" s="323" t="n">
        <v>9</v>
      </c>
      <c r="AB63" s="323" t="inlineStr">
        <is>
          <t>Thika East District</t>
        </is>
      </c>
      <c r="AC63" s="323" t="n">
        <v>13</v>
      </c>
      <c r="AE63" s="324" t="n">
        <v>378</v>
      </c>
      <c r="AF63" s="324" t="inlineStr">
        <is>
          <t>Mururi</t>
        </is>
      </c>
      <c r="AG63" s="324" t="n">
        <v>13</v>
      </c>
      <c r="AU63" t="n">
        <v>206</v>
      </c>
      <c r="AV63" t="inlineStr">
        <is>
          <t>KIKUYU</t>
        </is>
      </c>
      <c r="AW63" t="n">
        <v>3</v>
      </c>
      <c r="AX63" s="4" t="n"/>
      <c r="AZ63" s="305" t="n"/>
      <c r="BA63" s="305" t="inlineStr">
        <is>
          <t>GABON</t>
        </is>
      </c>
      <c r="BB63" s="306" t="n">
        <v>62</v>
      </c>
    </row>
    <row r="64">
      <c r="A64" t="n">
        <v>2016</v>
      </c>
      <c r="M64" s="3" t="n">
        <v>20138</v>
      </c>
      <c r="N64" t="inlineStr">
        <is>
          <t>CHEBARA</t>
        </is>
      </c>
      <c r="R64" s="3" t="inlineStr">
        <is>
          <t>00516</t>
        </is>
      </c>
      <c r="Z64">
        <f>CONCATENATE("Local",AA64)</f>
        <v/>
      </c>
      <c r="AA64" s="323" t="n">
        <v>10</v>
      </c>
      <c r="AB64" s="323" t="inlineStr">
        <is>
          <t>Thika West District</t>
        </is>
      </c>
      <c r="AC64" s="323" t="n">
        <v>13</v>
      </c>
      <c r="AE64" s="324" t="n">
        <v>439</v>
      </c>
      <c r="AF64" s="324" t="inlineStr">
        <is>
          <t>Pia</t>
        </is>
      </c>
      <c r="AG64" s="324" t="n">
        <v>13</v>
      </c>
      <c r="AU64" t="n">
        <v>156</v>
      </c>
      <c r="AV64" t="inlineStr">
        <is>
          <t>KILIFI BRANCH</t>
        </is>
      </c>
      <c r="AW64" t="n">
        <v>3</v>
      </c>
      <c r="AX64" s="4" t="n"/>
      <c r="AZ64" s="305" t="n"/>
      <c r="BA64" s="305" t="inlineStr">
        <is>
          <t>THE GAMBIA</t>
        </is>
      </c>
      <c r="BB64" s="306" t="n">
        <v>63</v>
      </c>
    </row>
    <row r="65">
      <c r="A65" t="n">
        <v>2017</v>
      </c>
      <c r="M65" s="3" t="n">
        <v>30706</v>
      </c>
      <c r="N65" t="inlineStr">
        <is>
          <t>CHEBIEMIT</t>
        </is>
      </c>
      <c r="R65" s="3" t="inlineStr">
        <is>
          <t>00517</t>
        </is>
      </c>
      <c r="Z65">
        <f>CONCATENATE("Local",AA65)</f>
        <v/>
      </c>
      <c r="AA65" s="323" t="n">
        <v>34</v>
      </c>
      <c r="AB65" s="323" t="inlineStr">
        <is>
          <t>Kaloleni District</t>
        </is>
      </c>
      <c r="AC65" s="323" t="n">
        <v>14</v>
      </c>
      <c r="AE65" s="324" t="n">
        <v>224</v>
      </c>
      <c r="AF65" s="324" t="inlineStr">
        <is>
          <t>Kimbibi</t>
        </is>
      </c>
      <c r="AG65" s="324" t="n">
        <v>14</v>
      </c>
      <c r="AU65" t="n">
        <v>145</v>
      </c>
      <c r="AV65" t="inlineStr">
        <is>
          <t>KISII BRANCH</t>
        </is>
      </c>
      <c r="AW65" t="n">
        <v>3</v>
      </c>
      <c r="AX65" s="4" t="n"/>
      <c r="AZ65" s="305" t="n"/>
      <c r="BA65" s="305" t="inlineStr">
        <is>
          <t>GEORGIA</t>
        </is>
      </c>
      <c r="BB65" s="306" t="n">
        <v>64</v>
      </c>
    </row>
    <row r="66">
      <c r="A66" t="n">
        <v>2018</v>
      </c>
      <c r="F66" t="inlineStr">
        <is>
          <t>Machinery List</t>
        </is>
      </c>
      <c r="M66" s="3" t="n">
        <v>20215</v>
      </c>
      <c r="N66" t="inlineStr">
        <is>
          <t>CHEBORGE</t>
        </is>
      </c>
      <c r="R66" s="3" t="inlineStr">
        <is>
          <t>00518</t>
        </is>
      </c>
      <c r="Z66">
        <f>CONCATENATE("Local",AA66)</f>
        <v/>
      </c>
      <c r="AA66" s="323" t="n">
        <v>32</v>
      </c>
      <c r="AB66" s="323" t="inlineStr">
        <is>
          <t>Kilifi District</t>
        </is>
      </c>
      <c r="AC66" s="323" t="n">
        <v>14</v>
      </c>
      <c r="AE66" s="324" t="n">
        <v>382</v>
      </c>
      <c r="AF66" s="324" t="inlineStr">
        <is>
          <t>Mutithi</t>
        </is>
      </c>
      <c r="AG66" s="324" t="n">
        <v>14</v>
      </c>
      <c r="AU66" t="n">
        <v>146</v>
      </c>
      <c r="AV66" t="inlineStr">
        <is>
          <t>KISUMU BRANCH</t>
        </is>
      </c>
      <c r="AW66" t="n">
        <v>3</v>
      </c>
      <c r="AX66" s="4" t="n"/>
      <c r="AZ66" s="305" t="n"/>
      <c r="BA66" s="305" t="inlineStr">
        <is>
          <t>GERMANY</t>
        </is>
      </c>
      <c r="BB66" s="306" t="n">
        <v>65</v>
      </c>
    </row>
    <row r="67">
      <c r="A67" t="n">
        <v>2019</v>
      </c>
      <c r="F67" t="inlineStr">
        <is>
          <t>Machinery used for Manufacture</t>
        </is>
      </c>
      <c r="M67" s="3" t="n">
        <v>30125</v>
      </c>
      <c r="N67" t="inlineStr">
        <is>
          <t>CHEBORORWA</t>
        </is>
      </c>
      <c r="R67" s="3" t="inlineStr">
        <is>
          <t>00520</t>
        </is>
      </c>
      <c r="Z67">
        <f>CONCATENATE("Local",AA67)</f>
        <v/>
      </c>
      <c r="AA67" s="323" t="n">
        <v>33</v>
      </c>
      <c r="AB67" s="323" t="inlineStr">
        <is>
          <t>Malindi District</t>
        </is>
      </c>
      <c r="AC67" s="323" t="n">
        <v>14</v>
      </c>
      <c r="AE67" s="324" t="n">
        <v>423</v>
      </c>
      <c r="AF67" s="324" t="inlineStr">
        <is>
          <t>Nguka</t>
        </is>
      </c>
      <c r="AG67" s="324" t="n">
        <v>14</v>
      </c>
      <c r="AU67" t="n">
        <v>147</v>
      </c>
      <c r="AV67" t="inlineStr">
        <is>
          <t>KITALE BRANCH</t>
        </is>
      </c>
      <c r="AW67" t="n">
        <v>3</v>
      </c>
      <c r="AX67" s="4" t="n"/>
      <c r="AZ67" s="305" t="n"/>
      <c r="BA67" s="305" t="inlineStr">
        <is>
          <t>GHANA</t>
        </is>
      </c>
      <c r="BB67" s="306" t="n">
        <v>66</v>
      </c>
    </row>
    <row r="68">
      <c r="A68" t="n">
        <v>2020</v>
      </c>
      <c r="F68" t="inlineStr">
        <is>
          <t>Hospital Equipment</t>
        </is>
      </c>
      <c r="M68" s="3" t="n">
        <v>20226</v>
      </c>
      <c r="N68" t="inlineStr">
        <is>
          <t>CHEBUNYO</t>
        </is>
      </c>
      <c r="R68" s="3" t="inlineStr">
        <is>
          <t>00600</t>
        </is>
      </c>
      <c r="Z68">
        <f>CONCATENATE("Local",AA68)</f>
        <v/>
      </c>
      <c r="AA68" s="323" t="n">
        <v>12</v>
      </c>
      <c r="AB68" s="323" t="inlineStr">
        <is>
          <t>Kirinyaga Central District</t>
        </is>
      </c>
      <c r="AC68" s="323" t="n">
        <v>15</v>
      </c>
      <c r="AE68" s="324" t="n">
        <v>510</v>
      </c>
      <c r="AF68" s="324" t="inlineStr">
        <is>
          <t>Wamumu</t>
        </is>
      </c>
      <c r="AG68" s="324" t="n">
        <v>14</v>
      </c>
      <c r="AU68" t="n">
        <v>193</v>
      </c>
      <c r="AV68" t="inlineStr">
        <is>
          <t>KITUI BRANCH</t>
        </is>
      </c>
      <c r="AW68" t="n">
        <v>3</v>
      </c>
      <c r="AX68" s="4" t="n"/>
      <c r="AZ68" s="305" t="n"/>
      <c r="BA68" s="305" t="inlineStr">
        <is>
          <t>GREECE</t>
        </is>
      </c>
      <c r="BB68" s="306" t="n">
        <v>67</v>
      </c>
    </row>
    <row r="69">
      <c r="A69" t="n">
        <v>2021</v>
      </c>
      <c r="F69" t="inlineStr">
        <is>
          <t>Ships or Aircraft</t>
        </is>
      </c>
      <c r="M69" s="3" t="n">
        <v>20222</v>
      </c>
      <c r="N69" t="inlineStr">
        <is>
          <t>CHEMAMUL</t>
        </is>
      </c>
      <c r="R69" s="3" t="inlineStr">
        <is>
          <t>00601</t>
        </is>
      </c>
      <c r="Z69">
        <f>CONCATENATE("Local",AA69)</f>
        <v/>
      </c>
      <c r="AA69" s="323" t="n">
        <v>13</v>
      </c>
      <c r="AB69" s="323" t="inlineStr">
        <is>
          <t>Kirinyaga East District</t>
        </is>
      </c>
      <c r="AC69" s="323" t="n">
        <v>15</v>
      </c>
      <c r="AE69" s="324" t="n">
        <v>513</v>
      </c>
      <c r="AF69" s="324" t="inlineStr">
        <is>
          <t>Wanguru</t>
        </is>
      </c>
      <c r="AG69" s="324" t="n">
        <v>14</v>
      </c>
      <c r="AU69" t="n">
        <v>183</v>
      </c>
      <c r="AV69" t="inlineStr">
        <is>
          <t>LAVINGTON</t>
        </is>
      </c>
      <c r="AW69" t="n">
        <v>3</v>
      </c>
      <c r="AX69" s="4" t="n"/>
      <c r="AZ69" s="305" t="n"/>
      <c r="BA69" s="305" t="inlineStr">
        <is>
          <t>GRENADA</t>
        </is>
      </c>
      <c r="BB69" s="306" t="n">
        <v>68</v>
      </c>
    </row>
    <row r="70">
      <c r="A70" t="n">
        <v>2022</v>
      </c>
      <c r="M70" s="3" t="n">
        <v>20407</v>
      </c>
      <c r="N70" t="inlineStr">
        <is>
          <t>CHEMANER</t>
        </is>
      </c>
      <c r="R70" s="3" t="inlineStr">
        <is>
          <t>00602</t>
        </is>
      </c>
      <c r="Z70">
        <f>CONCATENATE("Local",AA70)</f>
        <v/>
      </c>
      <c r="AA70" s="323" t="n">
        <v>14</v>
      </c>
      <c r="AB70" s="323" t="inlineStr">
        <is>
          <t>Kirinyaga South District</t>
        </is>
      </c>
      <c r="AC70" s="323" t="n">
        <v>15</v>
      </c>
      <c r="AE70" s="324" t="n">
        <v>18</v>
      </c>
      <c r="AF70" s="324" t="inlineStr">
        <is>
          <t>Baricho</t>
        </is>
      </c>
      <c r="AG70" s="324" t="n">
        <v>15</v>
      </c>
      <c r="AU70" t="n">
        <v>148</v>
      </c>
      <c r="AV70" t="inlineStr">
        <is>
          <t>LIMURU BRANCH</t>
        </is>
      </c>
      <c r="AW70" t="n">
        <v>3</v>
      </c>
      <c r="AX70" s="4" t="n"/>
      <c r="AZ70" s="305" t="n"/>
      <c r="BA70" s="305" t="inlineStr">
        <is>
          <t>GUATEMALA</t>
        </is>
      </c>
      <c r="BB70" s="306" t="n">
        <v>69</v>
      </c>
    </row>
    <row r="71">
      <c r="A71" t="n">
        <v>2023</v>
      </c>
      <c r="M71" s="3" t="n">
        <v>40143</v>
      </c>
      <c r="N71" t="inlineStr">
        <is>
          <t>CHEMASE</t>
        </is>
      </c>
      <c r="R71" s="3" t="inlineStr">
        <is>
          <t>00603</t>
        </is>
      </c>
      <c r="Z71">
        <f>CONCATENATE("Local",AA71)</f>
        <v/>
      </c>
      <c r="AA71" s="323" t="n">
        <v>15</v>
      </c>
      <c r="AB71" s="323" t="inlineStr">
        <is>
          <t>Kirinyaga West District</t>
        </is>
      </c>
      <c r="AC71" s="323" t="n">
        <v>15</v>
      </c>
      <c r="AE71" s="324" t="n">
        <v>140</v>
      </c>
      <c r="AF71" s="324" t="inlineStr">
        <is>
          <t>Kagio</t>
        </is>
      </c>
      <c r="AG71" s="324" t="n">
        <v>15</v>
      </c>
      <c r="AU71" t="n">
        <v>203</v>
      </c>
      <c r="AV71" t="inlineStr">
        <is>
          <t>LITEIN BRANCH</t>
        </is>
      </c>
      <c r="AW71" t="n">
        <v>3</v>
      </c>
      <c r="AX71" s="4" t="n"/>
      <c r="AZ71" s="305" t="n"/>
      <c r="BA71" s="305" t="inlineStr">
        <is>
          <t>GUATEMALA</t>
        </is>
      </c>
      <c r="BB71" s="306" t="n">
        <v>70</v>
      </c>
    </row>
    <row r="72">
      <c r="A72" t="inlineStr">
        <is>
          <t>Please enter numeric value Only.</t>
        </is>
      </c>
      <c r="F72" t="inlineStr">
        <is>
          <t>Indefeasible Right List</t>
        </is>
      </c>
      <c r="M72" s="3" t="n">
        <v>40116</v>
      </c>
      <c r="N72" t="inlineStr">
        <is>
          <t>CHEMELIL</t>
        </is>
      </c>
      <c r="R72" s="3" t="inlineStr">
        <is>
          <t>00604</t>
        </is>
      </c>
      <c r="Z72">
        <f>CONCATENATE("Local",AA72)</f>
        <v/>
      </c>
      <c r="AA72" s="323" t="n">
        <v>112</v>
      </c>
      <c r="AB72" s="323" t="inlineStr">
        <is>
          <t>Gucha North District</t>
        </is>
      </c>
      <c r="AC72" s="323" t="n">
        <v>16</v>
      </c>
      <c r="AE72" s="324" t="n">
        <v>205</v>
      </c>
      <c r="AF72" s="324" t="inlineStr">
        <is>
          <t>Kiangai</t>
        </is>
      </c>
      <c r="AG72" s="324" t="n">
        <v>15</v>
      </c>
      <c r="AU72" t="n">
        <v>218</v>
      </c>
      <c r="AV72" t="inlineStr">
        <is>
          <t>LOITA STREET</t>
        </is>
      </c>
      <c r="AW72" t="n">
        <v>3</v>
      </c>
      <c r="AX72" s="4" t="n"/>
      <c r="AZ72" s="305" t="n"/>
      <c r="BA72" s="305" t="inlineStr">
        <is>
          <t>GUINEA</t>
        </is>
      </c>
      <c r="BB72" s="306" t="n">
        <v>71</v>
      </c>
    </row>
    <row r="73">
      <c r="A73" t="inlineStr">
        <is>
          <t>Please enter alphanumeric value. Only Special characters like (Space , - . / : \ ' &amp; ( ) { } ! ` | # ; $) are allowed.</t>
        </is>
      </c>
      <c r="F73" t="inlineStr">
        <is>
          <t>Fibre Optic Cable by Telecommunication Operator</t>
        </is>
      </c>
      <c r="M73" s="3" t="n">
        <v>30206</v>
      </c>
      <c r="N73" t="inlineStr">
        <is>
          <t>CHEMIRON</t>
        </is>
      </c>
      <c r="R73" s="3" t="inlineStr">
        <is>
          <t>00605</t>
        </is>
      </c>
      <c r="Z73">
        <f>CONCATENATE("Local",AA73)</f>
        <v/>
      </c>
      <c r="AA73" s="323" t="n">
        <v>113</v>
      </c>
      <c r="AB73" s="323" t="inlineStr">
        <is>
          <t>Gucha South District</t>
        </is>
      </c>
      <c r="AC73" s="323" t="n">
        <v>16</v>
      </c>
      <c r="AE73" s="324" t="n">
        <v>206</v>
      </c>
      <c r="AF73" s="324" t="inlineStr">
        <is>
          <t>Kiangombe</t>
        </is>
      </c>
      <c r="AG73" s="324" t="n">
        <v>15</v>
      </c>
      <c r="AU73" t="n">
        <v>175</v>
      </c>
      <c r="AV73" t="inlineStr">
        <is>
          <t>MACHAKOS BRANCH</t>
        </is>
      </c>
      <c r="AW73" t="n">
        <v>3</v>
      </c>
      <c r="AX73" s="4" t="n"/>
      <c r="AZ73" s="305" t="n"/>
      <c r="BA73" s="305" t="inlineStr">
        <is>
          <t>GUYANA</t>
        </is>
      </c>
      <c r="BB73" s="306" t="n">
        <v>72</v>
      </c>
    </row>
    <row r="74">
      <c r="A74" t="inlineStr">
        <is>
          <t xml:space="preserve">Please enter alphabetic value Only. </t>
        </is>
      </c>
      <c r="M74" s="3" t="n">
        <v>30605</v>
      </c>
      <c r="N74" t="inlineStr">
        <is>
          <t>CHEPARERIA</t>
        </is>
      </c>
      <c r="R74" s="3" t="inlineStr">
        <is>
          <t>00606</t>
        </is>
      </c>
      <c r="Z74">
        <f>CONCATENATE("Local",AA74)</f>
        <v/>
      </c>
      <c r="AA74" s="323" t="n">
        <v>114</v>
      </c>
      <c r="AB74" s="323" t="inlineStr">
        <is>
          <t>Kanyanya District</t>
        </is>
      </c>
      <c r="AC74" s="323" t="n">
        <v>16</v>
      </c>
      <c r="AE74" s="324" t="n">
        <v>207</v>
      </c>
      <c r="AF74" s="324" t="inlineStr">
        <is>
          <t>Kiangwaci</t>
        </is>
      </c>
      <c r="AG74" s="324" t="n">
        <v>15</v>
      </c>
      <c r="AU74" t="n">
        <v>149</v>
      </c>
      <c r="AV74" t="inlineStr">
        <is>
          <t>MALINDI BRANCH</t>
        </is>
      </c>
      <c r="AW74" t="n">
        <v>3</v>
      </c>
      <c r="AX74" s="4" t="n"/>
      <c r="AZ74" s="305" t="n"/>
      <c r="BA74" s="305" t="inlineStr">
        <is>
          <t>HAITI</t>
        </is>
      </c>
      <c r="BB74" s="306" t="n">
        <v>73</v>
      </c>
    </row>
    <row r="75">
      <c r="A75" t="inlineStr">
        <is>
          <t xml:space="preserve"> is mandatory field.</t>
        </is>
      </c>
      <c r="M75" s="3" t="n">
        <v>30207</v>
      </c>
      <c r="N75" t="inlineStr">
        <is>
          <t>CHEPCHOINA</t>
        </is>
      </c>
      <c r="R75" s="3" t="inlineStr">
        <is>
          <t>00607</t>
        </is>
      </c>
      <c r="Z75">
        <f>CONCATENATE("Local",AA75)</f>
        <v/>
      </c>
      <c r="AA75" s="323" t="n">
        <v>115</v>
      </c>
      <c r="AB75" s="323" t="inlineStr">
        <is>
          <t>Kisii Central District</t>
        </is>
      </c>
      <c r="AC75" s="323" t="n">
        <v>16</v>
      </c>
      <c r="AE75" s="324" t="n">
        <v>213</v>
      </c>
      <c r="AF75" s="324" t="inlineStr">
        <is>
          <t>Kibigoti</t>
        </is>
      </c>
      <c r="AG75" s="324" t="n">
        <v>15</v>
      </c>
      <c r="AU75" t="n">
        <v>178</v>
      </c>
      <c r="AV75" t="inlineStr">
        <is>
          <t>MARAGUA BRANCH</t>
        </is>
      </c>
      <c r="AW75" t="n">
        <v>3</v>
      </c>
      <c r="AX75" s="4" t="n"/>
      <c r="AZ75" s="305" t="n"/>
      <c r="BA75" s="305" t="inlineStr">
        <is>
          <t>HONDURAS</t>
        </is>
      </c>
      <c r="BB75" s="306" t="n">
        <v>74</v>
      </c>
    </row>
    <row r="76">
      <c r="A76" t="inlineStr">
        <is>
          <t xml:space="preserve"> can not be same as  Taxpayer's PIN.</t>
        </is>
      </c>
      <c r="F76" t="inlineStr">
        <is>
          <t>Building Cat List for 2020 and 2021</t>
        </is>
      </c>
      <c r="M76" s="3" t="n">
        <v>20216</v>
      </c>
      <c r="N76" t="inlineStr">
        <is>
          <t>CHEPKEMEL</t>
        </is>
      </c>
      <c r="R76" s="3" t="inlineStr">
        <is>
          <t>00608</t>
        </is>
      </c>
      <c r="Z76">
        <f>CONCATENATE("Local",AA76)</f>
        <v/>
      </c>
      <c r="AA76" s="323" t="n">
        <v>116</v>
      </c>
      <c r="AB76" s="323" t="inlineStr">
        <is>
          <t>Kisii South District</t>
        </is>
      </c>
      <c r="AC76" s="323" t="n">
        <v>16</v>
      </c>
      <c r="AE76" s="324" t="n">
        <v>304</v>
      </c>
      <c r="AF76" s="324" t="inlineStr">
        <is>
          <t>Makutano</t>
        </is>
      </c>
      <c r="AG76" s="324" t="n">
        <v>15</v>
      </c>
      <c r="AU76" t="n">
        <v>215</v>
      </c>
      <c r="AV76" t="inlineStr">
        <is>
          <t>MARKET STREET BRANCH</t>
        </is>
      </c>
      <c r="AW76" t="n">
        <v>3</v>
      </c>
      <c r="AX76" s="4" t="n"/>
      <c r="AZ76" s="305" t="n"/>
      <c r="BA76" s="305" t="inlineStr">
        <is>
          <t>HUNGARY</t>
        </is>
      </c>
      <c r="BB76" s="306" t="n">
        <v>75</v>
      </c>
    </row>
    <row r="77">
      <c r="A77" t="inlineStr">
        <is>
          <t xml:space="preserve"> in proper format.</t>
        </is>
      </c>
      <c r="F77" t="inlineStr">
        <is>
          <t>Hotel Building</t>
        </is>
      </c>
      <c r="M77" s="3" t="n">
        <v>20137</v>
      </c>
      <c r="N77" t="inlineStr">
        <is>
          <t>CHEPKISWET</t>
        </is>
      </c>
      <c r="R77" s="3" t="inlineStr">
        <is>
          <t>00609</t>
        </is>
      </c>
      <c r="Z77">
        <f>CONCATENATE("Local",AA77)</f>
        <v/>
      </c>
      <c r="AA77" s="323" t="n">
        <v>117</v>
      </c>
      <c r="AB77" s="323" t="inlineStr">
        <is>
          <t>Masaba District</t>
        </is>
      </c>
      <c r="AC77" s="323" t="n">
        <v>16</v>
      </c>
      <c r="AE77" s="324" t="n">
        <v>453</v>
      </c>
      <c r="AF77" s="324" t="inlineStr">
        <is>
          <t>Sagana</t>
        </is>
      </c>
      <c r="AG77" s="324" t="n">
        <v>15</v>
      </c>
      <c r="AU77" t="n">
        <v>179</v>
      </c>
      <c r="AV77" t="inlineStr">
        <is>
          <t>MAUA</t>
        </is>
      </c>
      <c r="AW77" t="n">
        <v>3</v>
      </c>
      <c r="AX77" s="4" t="n"/>
      <c r="AZ77" s="305" t="n"/>
      <c r="BA77" s="305" t="inlineStr">
        <is>
          <t>ICELAND</t>
        </is>
      </c>
      <c r="BB77" s="306" t="n">
        <v>76</v>
      </c>
    </row>
    <row r="78">
      <c r="A78" t="inlineStr">
        <is>
          <t>Please enter Date between Return Period specified and in dd/mm/yyyy proper format.</t>
        </is>
      </c>
      <c r="F78" t="inlineStr">
        <is>
          <t>Building used for Manufacture</t>
        </is>
      </c>
      <c r="M78" s="3" t="n">
        <v>30129</v>
      </c>
      <c r="N78" t="inlineStr">
        <is>
          <t>CHEPKORIO</t>
        </is>
      </c>
      <c r="R78" s="3" t="inlineStr">
        <is>
          <t>00610</t>
        </is>
      </c>
      <c r="Z78">
        <f>CONCATENATE("Local",AA78)</f>
        <v/>
      </c>
      <c r="AA78" s="323" t="n">
        <v>118</v>
      </c>
      <c r="AB78" s="323" t="inlineStr">
        <is>
          <t>North Masaba District</t>
        </is>
      </c>
      <c r="AC78" s="323" t="n">
        <v>16</v>
      </c>
      <c r="AE78" s="324" t="n">
        <v>163</v>
      </c>
      <c r="AF78" s="324" t="inlineStr">
        <is>
          <t>Kangari</t>
        </is>
      </c>
      <c r="AG78" s="324" t="n">
        <v>16</v>
      </c>
      <c r="AU78" t="n">
        <v>176</v>
      </c>
      <c r="AV78" t="inlineStr">
        <is>
          <t>MAUA BRANCH</t>
        </is>
      </c>
      <c r="AW78" t="n">
        <v>3</v>
      </c>
      <c r="AX78" s="4" t="n"/>
      <c r="AZ78" s="305" t="n"/>
      <c r="BA78" s="305" t="inlineStr">
        <is>
          <t>INDIA</t>
        </is>
      </c>
      <c r="BB78" s="306" t="n">
        <v>77</v>
      </c>
    </row>
    <row r="79">
      <c r="A79" t="inlineStr">
        <is>
          <t>Please enter alphanumeric value. Special characters are not allowed.</t>
        </is>
      </c>
      <c r="F79" t="inlineStr">
        <is>
          <t>Hospital Building</t>
        </is>
      </c>
      <c r="M79" s="3" t="n">
        <v>30308</v>
      </c>
      <c r="N79" t="inlineStr">
        <is>
          <t>CHEPKUNYUK</t>
        </is>
      </c>
      <c r="R79" s="3" t="inlineStr">
        <is>
          <t>00611</t>
        </is>
      </c>
      <c r="Z79">
        <f>CONCATENATE("Local",AA79)</f>
        <v/>
      </c>
      <c r="AA79" s="323" t="n">
        <v>119</v>
      </c>
      <c r="AB79" s="323" t="inlineStr">
        <is>
          <t>Nyamache District</t>
        </is>
      </c>
      <c r="AC79" s="323" t="n">
        <v>16</v>
      </c>
      <c r="AE79" s="324" t="n">
        <v>217</v>
      </c>
      <c r="AF79" s="324" t="inlineStr">
        <is>
          <t>Kigumo</t>
        </is>
      </c>
      <c r="AG79" s="324" t="n">
        <v>16</v>
      </c>
      <c r="AU79" t="n">
        <v>194</v>
      </c>
      <c r="AV79" t="inlineStr">
        <is>
          <t>MBALE BRANCH</t>
        </is>
      </c>
      <c r="AW79" t="n">
        <v>3</v>
      </c>
      <c r="AX79" s="4" t="n"/>
      <c r="AZ79" s="305" t="n"/>
      <c r="BA79" s="305" t="inlineStr">
        <is>
          <t>INDONESIA</t>
        </is>
      </c>
      <c r="BB79" s="306" t="n">
        <v>78</v>
      </c>
    </row>
    <row r="80">
      <c r="F80" t="inlineStr">
        <is>
          <t>Petroleum or Gas Storage Facilities</t>
        </is>
      </c>
      <c r="M80" s="3" t="n">
        <v>30309</v>
      </c>
      <c r="N80" t="inlineStr">
        <is>
          <t>CHEPSONOI</t>
        </is>
      </c>
      <c r="R80" s="3" t="inlineStr">
        <is>
          <t>00612</t>
        </is>
      </c>
      <c r="Z80">
        <f>CONCATENATE("Local",AA80)</f>
        <v/>
      </c>
      <c r="AA80" s="323" t="n">
        <v>120</v>
      </c>
      <c r="AB80" s="323" t="inlineStr">
        <is>
          <t>Kisumu East District</t>
        </is>
      </c>
      <c r="AC80" s="323" t="n">
        <v>17</v>
      </c>
      <c r="AE80" s="324" t="n">
        <v>231</v>
      </c>
      <c r="AF80" s="324" t="inlineStr">
        <is>
          <t>Kinyona</t>
        </is>
      </c>
      <c r="AG80" s="324" t="n">
        <v>16</v>
      </c>
      <c r="AU80" t="n">
        <v>150</v>
      </c>
      <c r="AV80" t="inlineStr">
        <is>
          <t>MERU BRANCH</t>
        </is>
      </c>
      <c r="AW80" t="n">
        <v>3</v>
      </c>
      <c r="AX80" s="4" t="n"/>
      <c r="AZ80" s="305" t="n"/>
      <c r="BA80" s="305" t="inlineStr">
        <is>
          <t>IRAN</t>
        </is>
      </c>
      <c r="BB80" s="306" t="n">
        <v>79</v>
      </c>
    </row>
    <row r="81">
      <c r="F81" t="inlineStr">
        <is>
          <t>Education Building including Student Hostels</t>
        </is>
      </c>
      <c r="M81" s="3" t="n">
        <v>50201</v>
      </c>
      <c r="N81" t="inlineStr">
        <is>
          <t>CHEPTAIS</t>
        </is>
      </c>
      <c r="R81" s="3" t="inlineStr">
        <is>
          <t>00613</t>
        </is>
      </c>
      <c r="Z81">
        <f>CONCATENATE("Local",AA81)</f>
        <v/>
      </c>
      <c r="AA81" s="323" t="n">
        <v>121</v>
      </c>
      <c r="AB81" s="323" t="inlineStr">
        <is>
          <t>Kisumu West District</t>
        </is>
      </c>
      <c r="AC81" s="323" t="n">
        <v>17</v>
      </c>
      <c r="AE81" s="324" t="n">
        <v>101</v>
      </c>
      <c r="AF81" s="324" t="inlineStr">
        <is>
          <t>Gatunyu</t>
        </is>
      </c>
      <c r="AG81" s="324" t="n">
        <v>17</v>
      </c>
      <c r="AU81" t="n">
        <v>211</v>
      </c>
      <c r="AV81" t="inlineStr">
        <is>
          <t>MIGORI</t>
        </is>
      </c>
      <c r="AW81" t="n">
        <v>3</v>
      </c>
      <c r="AX81" s="4" t="n"/>
      <c r="AZ81" s="305" t="n"/>
      <c r="BA81" s="305" t="inlineStr">
        <is>
          <t>IRAQ</t>
        </is>
      </c>
      <c r="BB81" s="306" t="n">
        <v>80</v>
      </c>
    </row>
    <row r="82">
      <c r="F82" t="inlineStr">
        <is>
          <t>Commercial Building</t>
        </is>
      </c>
      <c r="M82" s="3" t="n">
        <v>20410</v>
      </c>
      <c r="N82" t="inlineStr">
        <is>
          <t>CHEPTALAL</t>
        </is>
      </c>
      <c r="R82" s="3" t="inlineStr">
        <is>
          <t>00614</t>
        </is>
      </c>
      <c r="Z82">
        <f>CONCATENATE("Local",AA82)</f>
        <v/>
      </c>
      <c r="AA82" s="323" t="n">
        <v>122</v>
      </c>
      <c r="AB82" s="323" t="inlineStr">
        <is>
          <t>Nyakach District</t>
        </is>
      </c>
      <c r="AC82" s="323" t="n">
        <v>17</v>
      </c>
      <c r="AE82" s="324" t="n">
        <v>102</v>
      </c>
      <c r="AF82" s="324" t="inlineStr">
        <is>
          <t>Gatura</t>
        </is>
      </c>
      <c r="AG82" s="324" t="n">
        <v>17</v>
      </c>
      <c r="AU82" t="n">
        <v>189</v>
      </c>
      <c r="AV82" t="inlineStr">
        <is>
          <t>MIGORI BRANCH</t>
        </is>
      </c>
      <c r="AW82" t="n">
        <v>3</v>
      </c>
      <c r="AX82" s="4" t="n"/>
      <c r="AZ82" s="305" t="n"/>
      <c r="BA82" s="305" t="inlineStr">
        <is>
          <t>IRELAND</t>
        </is>
      </c>
      <c r="BB82" s="306" t="n">
        <v>81</v>
      </c>
    </row>
    <row r="83">
      <c r="F83" t="inlineStr">
        <is>
          <t>Construction of Bulk Storage and Handling Facilities (SGR)</t>
        </is>
      </c>
      <c r="M83" s="3" t="n">
        <v>30121</v>
      </c>
      <c r="N83" t="inlineStr">
        <is>
          <t>CHEPTERWAI</t>
        </is>
      </c>
      <c r="R83" s="3" t="inlineStr">
        <is>
          <t>00615</t>
        </is>
      </c>
      <c r="Z83">
        <f>CONCATENATE("Local",AA83)</f>
        <v/>
      </c>
      <c r="AA83" s="323" t="n">
        <v>123</v>
      </c>
      <c r="AB83" s="323" t="inlineStr">
        <is>
          <t>Nyando District</t>
        </is>
      </c>
      <c r="AC83" s="323" t="n">
        <v>17</v>
      </c>
      <c r="AE83" s="324" t="n">
        <v>238</v>
      </c>
      <c r="AF83" s="324" t="inlineStr">
        <is>
          <t>Kirwara</t>
        </is>
      </c>
      <c r="AG83" s="324" t="n">
        <v>17</v>
      </c>
      <c r="AU83" t="n">
        <v>152</v>
      </c>
      <c r="AV83" t="inlineStr">
        <is>
          <t>MOI AVENUE BRANCH</t>
        </is>
      </c>
      <c r="AW83" t="n">
        <v>3</v>
      </c>
      <c r="AX83" s="4" t="n"/>
      <c r="AZ83" s="305" t="n"/>
      <c r="BA83" s="305" t="inlineStr">
        <is>
          <t>ISRAEL</t>
        </is>
      </c>
      <c r="BB83" s="306" t="n">
        <v>82</v>
      </c>
    </row>
    <row r="84">
      <c r="M84" s="3" t="n">
        <v>30709</v>
      </c>
      <c r="N84" t="inlineStr">
        <is>
          <t>CHEPTONGEI</t>
        </is>
      </c>
      <c r="R84" s="3" t="inlineStr">
        <is>
          <t>00616</t>
        </is>
      </c>
      <c r="Z84">
        <f>CONCATENATE("Local",AA84)</f>
        <v/>
      </c>
      <c r="AA84" s="323" t="n">
        <v>54</v>
      </c>
      <c r="AB84" s="323" t="inlineStr">
        <is>
          <t>Kitui Central District</t>
        </is>
      </c>
      <c r="AC84" s="323" t="n">
        <v>18</v>
      </c>
      <c r="AE84" s="324" t="n">
        <v>292</v>
      </c>
      <c r="AF84" s="324" t="inlineStr">
        <is>
          <t>Mabanda</t>
        </is>
      </c>
      <c r="AG84" s="324" t="n">
        <v>17</v>
      </c>
      <c r="AU84" t="n">
        <v>207</v>
      </c>
      <c r="AV84" t="inlineStr">
        <is>
          <t>MOI AVENUE BRANCH</t>
        </is>
      </c>
      <c r="AW84" t="n">
        <v>3</v>
      </c>
      <c r="AX84" s="4" t="n"/>
      <c r="AZ84" s="305" t="n"/>
      <c r="BA84" s="305" t="inlineStr">
        <is>
          <t>ITALY</t>
        </is>
      </c>
      <c r="BB84" s="306" t="n">
        <v>83</v>
      </c>
    </row>
    <row r="85">
      <c r="M85" s="3" t="n">
        <v>50243</v>
      </c>
      <c r="N85" t="inlineStr">
        <is>
          <t>CHESAMISI</t>
        </is>
      </c>
      <c r="R85" s="3" t="inlineStr">
        <is>
          <t>00617</t>
        </is>
      </c>
      <c r="Z85">
        <f>CONCATENATE("Local",AA85)</f>
        <v/>
      </c>
      <c r="AA85" s="323" t="n">
        <v>55</v>
      </c>
      <c r="AB85" s="323" t="inlineStr">
        <is>
          <t>Kitui West District</t>
        </is>
      </c>
      <c r="AC85" s="323" t="n">
        <v>18</v>
      </c>
      <c r="AE85" s="324" t="n">
        <v>411</v>
      </c>
      <c r="AF85" s="324" t="inlineStr">
        <is>
          <t>Ndakaini</t>
        </is>
      </c>
      <c r="AG85" s="324" t="n">
        <v>17</v>
      </c>
      <c r="AU85" t="n">
        <v>151</v>
      </c>
      <c r="AV85" t="inlineStr">
        <is>
          <t>MOLO BRANCH</t>
        </is>
      </c>
      <c r="AW85" t="n">
        <v>3</v>
      </c>
      <c r="AX85" s="4" t="n"/>
      <c r="AZ85" s="305" t="n"/>
      <c r="BA85" s="305" t="inlineStr">
        <is>
          <t>JAMAICA</t>
        </is>
      </c>
      <c r="BB85" s="306" t="n">
        <v>84</v>
      </c>
    </row>
    <row r="86">
      <c r="M86" s="3" t="n">
        <v>20217</v>
      </c>
      <c r="N86" t="inlineStr">
        <is>
          <t>CHESINENDET</t>
        </is>
      </c>
      <c r="R86" s="3" t="inlineStr">
        <is>
          <t>00618</t>
        </is>
      </c>
      <c r="Z86">
        <f>CONCATENATE("Local",AA86)</f>
        <v/>
      </c>
      <c r="AA86" s="323" t="n">
        <v>56</v>
      </c>
      <c r="AB86" s="323" t="inlineStr">
        <is>
          <t>Kyuso District</t>
        </is>
      </c>
      <c r="AC86" s="323" t="n">
        <v>18</v>
      </c>
      <c r="AE86" s="324" t="n">
        <v>97</v>
      </c>
      <c r="AF86" s="324" t="inlineStr">
        <is>
          <t>Gathinja</t>
        </is>
      </c>
      <c r="AG86" s="324" t="n">
        <v>18</v>
      </c>
      <c r="AU86" t="n">
        <v>200</v>
      </c>
      <c r="AV86" t="inlineStr">
        <is>
          <t>MOMBASA PORT BRANCH</t>
        </is>
      </c>
      <c r="AW86" t="n">
        <v>3</v>
      </c>
      <c r="AX86" s="4" t="n"/>
      <c r="AZ86" s="305" t="n"/>
      <c r="BA86" s="305" t="inlineStr">
        <is>
          <t>JAPAN</t>
        </is>
      </c>
      <c r="BB86" s="306" t="n">
        <v>85</v>
      </c>
    </row>
    <row r="87">
      <c r="F87" t="inlineStr">
        <is>
          <t>Building Cat List</t>
        </is>
      </c>
      <c r="M87" s="3" t="n">
        <v>30712</v>
      </c>
      <c r="N87" t="inlineStr">
        <is>
          <t>CHESOI</t>
        </is>
      </c>
      <c r="R87" s="3" t="inlineStr">
        <is>
          <t>00619</t>
        </is>
      </c>
      <c r="Z87">
        <f>CONCATENATE("Local",AA87)</f>
        <v/>
      </c>
      <c r="AA87" s="323" t="n">
        <v>57</v>
      </c>
      <c r="AB87" s="323" t="inlineStr">
        <is>
          <t>Mutitu District</t>
        </is>
      </c>
      <c r="AC87" s="323" t="n">
        <v>18</v>
      </c>
      <c r="AE87" s="324" t="n">
        <v>155</v>
      </c>
      <c r="AF87" s="324" t="inlineStr">
        <is>
          <t>Kambirwa</t>
        </is>
      </c>
      <c r="AG87" s="324" t="n">
        <v>18</v>
      </c>
      <c r="AU87" t="n">
        <v>142</v>
      </c>
      <c r="AV87" t="inlineStr">
        <is>
          <t>MURANG'A BRANCH</t>
        </is>
      </c>
      <c r="AW87" t="n">
        <v>3</v>
      </c>
      <c r="AX87" s="4" t="n"/>
      <c r="AZ87" s="305" t="n"/>
      <c r="BA87" s="305" t="inlineStr">
        <is>
          <t>JORDAN</t>
        </is>
      </c>
      <c r="BB87" s="306" t="n">
        <v>86</v>
      </c>
    </row>
    <row r="88">
      <c r="F88" t="inlineStr">
        <is>
          <t>Hotel Building</t>
        </is>
      </c>
      <c r="M88" s="3" t="n">
        <v>60409</v>
      </c>
      <c r="N88" t="inlineStr">
        <is>
          <t>CHIAKARIGA</t>
        </is>
      </c>
      <c r="R88" s="3" t="inlineStr">
        <is>
          <t>00620</t>
        </is>
      </c>
      <c r="Z88">
        <f>CONCATENATE("Local",AA88)</f>
        <v/>
      </c>
      <c r="AA88" s="323" t="n">
        <v>58</v>
      </c>
      <c r="AB88" s="323" t="inlineStr">
        <is>
          <t>Mutomo District</t>
        </is>
      </c>
      <c r="AC88" s="323" t="n">
        <v>18</v>
      </c>
      <c r="AE88" s="324" t="n">
        <v>180</v>
      </c>
      <c r="AF88" s="324" t="inlineStr">
        <is>
          <t>Karuri</t>
        </is>
      </c>
      <c r="AG88" s="324" t="n">
        <v>18</v>
      </c>
      <c r="AU88" t="n">
        <v>188</v>
      </c>
      <c r="AV88" t="inlineStr">
        <is>
          <t>MUTHAIGA BRANCH</t>
        </is>
      </c>
      <c r="AW88" t="n">
        <v>3</v>
      </c>
      <c r="AX88" s="4" t="n"/>
      <c r="AZ88" s="305" t="n"/>
      <c r="BA88" s="305" t="inlineStr">
        <is>
          <t>KAZAKHSTAN</t>
        </is>
      </c>
      <c r="BB88" s="306" t="n">
        <v>87</v>
      </c>
    </row>
    <row r="89">
      <c r="A89" s="2" t="inlineStr">
        <is>
          <t>Country Name</t>
        </is>
      </c>
      <c r="B89" s="2" t="inlineStr">
        <is>
          <t>Country Id</t>
        </is>
      </c>
      <c r="F89" t="inlineStr">
        <is>
          <t>Buidling used for manufacture</t>
        </is>
      </c>
      <c r="M89" s="3" t="n">
        <v>60401</v>
      </c>
      <c r="N89" t="inlineStr">
        <is>
          <t>CHOGORIA</t>
        </is>
      </c>
      <c r="R89" s="3" t="inlineStr">
        <is>
          <t>00621</t>
        </is>
      </c>
      <c r="Z89">
        <f>CONCATENATE("Local",AA89)</f>
        <v/>
      </c>
      <c r="AA89" s="323" t="n">
        <v>59</v>
      </c>
      <c r="AB89" s="323" t="inlineStr">
        <is>
          <t>Mwingi District</t>
        </is>
      </c>
      <c r="AC89" s="323" t="n">
        <v>18</v>
      </c>
      <c r="AE89" s="324" t="n">
        <v>189</v>
      </c>
      <c r="AF89" s="324" t="inlineStr">
        <is>
          <t>Kaweru</t>
        </is>
      </c>
      <c r="AG89" s="324" t="n">
        <v>18</v>
      </c>
      <c r="AU89" t="n">
        <v>158</v>
      </c>
      <c r="AV89" t="inlineStr">
        <is>
          <t>NAIROBI CARD CENTRE BRANCH</t>
        </is>
      </c>
      <c r="AW89" t="n">
        <v>3</v>
      </c>
      <c r="AX89" s="4" t="n"/>
      <c r="AZ89" s="305" t="n"/>
      <c r="BA89" s="305" t="inlineStr">
        <is>
          <t>KENYA</t>
        </is>
      </c>
      <c r="BB89" s="306" t="n">
        <v>88</v>
      </c>
    </row>
    <row r="90">
      <c r="A90" s="305" t="inlineStr">
        <is>
          <t>AFGHANISTAN</t>
        </is>
      </c>
      <c r="B90" s="306" t="n">
        <v>1</v>
      </c>
      <c r="F90" t="inlineStr">
        <is>
          <t>Hospital Building</t>
        </is>
      </c>
      <c r="M90" s="3" t="n">
        <v>60400</v>
      </c>
      <c r="N90" t="inlineStr">
        <is>
          <t>CHUKA</t>
        </is>
      </c>
      <c r="R90" s="3" t="inlineStr">
        <is>
          <t>00622</t>
        </is>
      </c>
      <c r="Z90">
        <f>CONCATENATE("Local",AA90)</f>
        <v/>
      </c>
      <c r="AA90" s="323" t="n">
        <v>35</v>
      </c>
      <c r="AB90" s="323" t="inlineStr">
        <is>
          <t>Kinango District</t>
        </is>
      </c>
      <c r="AC90" s="323" t="n">
        <v>19</v>
      </c>
      <c r="AE90" s="324" t="n">
        <v>368</v>
      </c>
      <c r="AF90" s="324" t="inlineStr">
        <is>
          <t>Mukuyu</t>
        </is>
      </c>
      <c r="AG90" s="324" t="n">
        <v>18</v>
      </c>
      <c r="AU90" t="n">
        <v>159</v>
      </c>
      <c r="AV90" t="inlineStr">
        <is>
          <t>NAIROBI FOREIGN EXCHANGE</t>
        </is>
      </c>
      <c r="AW90" t="n">
        <v>3</v>
      </c>
      <c r="AX90" s="4" t="n"/>
      <c r="AZ90" s="305" t="n"/>
      <c r="BA90" s="305" t="inlineStr">
        <is>
          <t>KIRIBATI</t>
        </is>
      </c>
      <c r="BB90" s="306" t="n">
        <v>89</v>
      </c>
    </row>
    <row r="91">
      <c r="A91" s="305" t="inlineStr">
        <is>
          <t>ALBANIA</t>
        </is>
      </c>
      <c r="B91" s="306" t="n">
        <v>2</v>
      </c>
      <c r="F91" t="inlineStr">
        <is>
          <t>Petroleum or Gas Storage Facilities</t>
        </is>
      </c>
      <c r="M91" s="3" t="n">
        <v>90219</v>
      </c>
      <c r="N91" t="inlineStr">
        <is>
          <t>CHULUNI</t>
        </is>
      </c>
      <c r="R91" s="3" t="inlineStr">
        <is>
          <t>00623</t>
        </is>
      </c>
      <c r="Z91">
        <f>CONCATENATE("Local",AA91)</f>
        <v/>
      </c>
      <c r="AA91" s="323" t="n">
        <v>36</v>
      </c>
      <c r="AB91" s="323" t="inlineStr">
        <is>
          <t>Kwale District</t>
        </is>
      </c>
      <c r="AC91" s="323" t="n">
        <v>19</v>
      </c>
      <c r="AE91" s="324" t="n">
        <v>90</v>
      </c>
      <c r="AF91" s="324" t="inlineStr">
        <is>
          <t>Gakira</t>
        </is>
      </c>
      <c r="AG91" s="324" t="n">
        <v>19</v>
      </c>
      <c r="AU91" t="n">
        <v>213</v>
      </c>
      <c r="AV91" t="inlineStr">
        <is>
          <t>NAIROBI UNIVERSITY</t>
        </is>
      </c>
      <c r="AW91" t="n">
        <v>3</v>
      </c>
      <c r="AX91" s="4" t="n"/>
      <c r="AZ91" s="305" t="n"/>
      <c r="BA91" s="305" t="inlineStr">
        <is>
          <t>KOREA, NORTH</t>
        </is>
      </c>
      <c r="BB91" s="306" t="n">
        <v>90</v>
      </c>
    </row>
    <row r="92">
      <c r="A92" s="305" t="inlineStr">
        <is>
          <t>ALGERIA</t>
        </is>
      </c>
      <c r="B92" s="306" t="n">
        <v>3</v>
      </c>
      <c r="F92" t="inlineStr">
        <is>
          <t>Education Building including Student Hostels</t>
        </is>
      </c>
      <c r="M92" s="3" t="n">
        <v>80314</v>
      </c>
      <c r="N92" t="inlineStr">
        <is>
          <t>CHUMVINI</t>
        </is>
      </c>
      <c r="R92" s="3" t="inlineStr">
        <is>
          <t>00624</t>
        </is>
      </c>
      <c r="Z92">
        <f>CONCATENATE("Local",AA92)</f>
        <v/>
      </c>
      <c r="AA92" s="323" t="n">
        <v>38</v>
      </c>
      <c r="AB92" s="323" t="inlineStr">
        <is>
          <t>Matuga</t>
        </is>
      </c>
      <c r="AC92" s="323" t="n">
        <v>19</v>
      </c>
      <c r="AE92" s="324" t="n">
        <v>109</v>
      </c>
      <c r="AF92" s="324" t="inlineStr">
        <is>
          <t>Githiga</t>
        </is>
      </c>
      <c r="AG92" s="324" t="n">
        <v>19</v>
      </c>
      <c r="AU92" t="n">
        <v>185</v>
      </c>
      <c r="AV92" t="inlineStr">
        <is>
          <t>NAIVASHA BRANCH</t>
        </is>
      </c>
      <c r="AW92" t="n">
        <v>3</v>
      </c>
      <c r="AX92" s="4" t="n"/>
      <c r="AZ92" s="305" t="n"/>
      <c r="BA92" s="305" t="inlineStr">
        <is>
          <t>KOREA, SOUTH</t>
        </is>
      </c>
      <c r="BB92" s="306" t="n">
        <v>91</v>
      </c>
    </row>
    <row r="93">
      <c r="A93" s="305" t="inlineStr">
        <is>
          <t>ANDORRA</t>
        </is>
      </c>
      <c r="B93" s="306" t="n">
        <v>4</v>
      </c>
      <c r="F93" t="inlineStr">
        <is>
          <t>Commercial Building</t>
        </is>
      </c>
      <c r="M93" s="3" t="n">
        <v>50202</v>
      </c>
      <c r="N93" t="inlineStr">
        <is>
          <t>CHWELE</t>
        </is>
      </c>
      <c r="R93" s="3" t="inlineStr">
        <is>
          <t>00625</t>
        </is>
      </c>
      <c r="Z93">
        <f>CONCATENATE("Local",AA93)</f>
        <v/>
      </c>
      <c r="AA93" s="323" t="n">
        <v>37</v>
      </c>
      <c r="AB93" s="323" t="inlineStr">
        <is>
          <t>Msabweni District</t>
        </is>
      </c>
      <c r="AC93" s="323" t="n">
        <v>19</v>
      </c>
      <c r="AE93" s="324" t="n">
        <v>136</v>
      </c>
      <c r="AF93" s="324" t="inlineStr">
        <is>
          <t>Kabati</t>
        </is>
      </c>
      <c r="AG93" s="324" t="n">
        <v>19</v>
      </c>
      <c r="AU93" t="n">
        <v>217</v>
      </c>
      <c r="AV93" t="inlineStr">
        <is>
          <t>NAKUMATT - EMBAKASI</t>
        </is>
      </c>
      <c r="AW93" t="n">
        <v>3</v>
      </c>
      <c r="AX93" s="4" t="n"/>
      <c r="AZ93" s="305" t="n"/>
      <c r="BA93" s="305" t="inlineStr">
        <is>
          <t>KOSOVO</t>
        </is>
      </c>
      <c r="BB93" s="306" t="n">
        <v>92</v>
      </c>
    </row>
    <row r="94">
      <c r="A94" s="305" t="inlineStr">
        <is>
          <t>ANGOLA</t>
        </is>
      </c>
      <c r="B94" s="306" t="n">
        <v>5</v>
      </c>
      <c r="M94" s="3" t="inlineStr">
        <is>
          <t>00200</t>
        </is>
      </c>
      <c r="N94" t="inlineStr">
        <is>
          <t>CITY SQUARE</t>
        </is>
      </c>
      <c r="R94" s="3" t="inlineStr">
        <is>
          <t>00700</t>
        </is>
      </c>
      <c r="Z94">
        <f>CONCATENATE("Local",AA94)</f>
        <v/>
      </c>
      <c r="AA94" s="323" t="n">
        <v>159</v>
      </c>
      <c r="AB94" s="323" t="inlineStr">
        <is>
          <t>Laikipia Central District</t>
        </is>
      </c>
      <c r="AC94" s="323" t="n">
        <v>20</v>
      </c>
      <c r="AE94" s="324" t="n">
        <v>152</v>
      </c>
      <c r="AF94" s="324" t="inlineStr">
        <is>
          <t>Kakuzi</t>
        </is>
      </c>
      <c r="AG94" s="324" t="n">
        <v>19</v>
      </c>
      <c r="AU94" t="n">
        <v>162</v>
      </c>
      <c r="AV94" t="inlineStr">
        <is>
          <t>NAKURU EAST BRANCH</t>
        </is>
      </c>
      <c r="AW94" t="n">
        <v>3</v>
      </c>
      <c r="AX94" s="4" t="n"/>
      <c r="AZ94" s="305" t="n"/>
      <c r="BA94" s="305" t="inlineStr">
        <is>
          <t>KUWAIT</t>
        </is>
      </c>
      <c r="BB94" s="306" t="n">
        <v>93</v>
      </c>
    </row>
    <row r="95">
      <c r="A95" s="305" t="inlineStr">
        <is>
          <t>ANTIGUA AND BARBUDA</t>
        </is>
      </c>
      <c r="B95" s="306" t="n">
        <v>6</v>
      </c>
      <c r="M95" s="3" t="n">
        <v>80103</v>
      </c>
      <c r="N95" t="inlineStr">
        <is>
          <t>COAST GENERAL HOSPITAL</t>
        </is>
      </c>
      <c r="R95" s="3" t="inlineStr">
        <is>
          <t>00800</t>
        </is>
      </c>
      <c r="Z95">
        <f>CONCATENATE("Local",AA95)</f>
        <v/>
      </c>
      <c r="AA95" s="323" t="n">
        <v>156</v>
      </c>
      <c r="AB95" s="323" t="inlineStr">
        <is>
          <t>Laikipia East District</t>
        </is>
      </c>
      <c r="AC95" s="323" t="n">
        <v>20</v>
      </c>
      <c r="AE95" s="324" t="n">
        <v>166</v>
      </c>
      <c r="AF95" s="324" t="inlineStr">
        <is>
          <t>Kanyenyaini</t>
        </is>
      </c>
      <c r="AG95" s="324" t="n">
        <v>19</v>
      </c>
      <c r="AU95" t="n">
        <v>163</v>
      </c>
      <c r="AV95" t="inlineStr">
        <is>
          <t>NAKURU WEST BRANCH</t>
        </is>
      </c>
      <c r="AW95" t="n">
        <v>3</v>
      </c>
      <c r="AX95" s="4" t="n"/>
      <c r="AZ95" s="305" t="n"/>
      <c r="BA95" s="305" t="inlineStr">
        <is>
          <t>KYRGYZSTAN</t>
        </is>
      </c>
      <c r="BB95" s="306" t="n">
        <v>94</v>
      </c>
    </row>
    <row r="96">
      <c r="A96" s="305" t="inlineStr">
        <is>
          <t>ARGENTINA</t>
        </is>
      </c>
      <c r="B96" s="306" t="n">
        <v>7</v>
      </c>
      <c r="F96" t="inlineStr">
        <is>
          <t>Item Category E1P4</t>
        </is>
      </c>
      <c r="M96" s="3" t="inlineStr">
        <is>
          <t>00201</t>
        </is>
      </c>
      <c r="N96" t="inlineStr">
        <is>
          <t>COMMUNITY</t>
        </is>
      </c>
      <c r="R96" s="3" t="inlineStr">
        <is>
          <t>00900</t>
        </is>
      </c>
      <c r="Z96">
        <f>CONCATENATE("Local",AA96)</f>
        <v/>
      </c>
      <c r="AA96" s="323" t="n">
        <v>157</v>
      </c>
      <c r="AB96" s="323" t="inlineStr">
        <is>
          <t>Laikipia North District</t>
        </is>
      </c>
      <c r="AC96" s="323" t="n">
        <v>20</v>
      </c>
      <c r="AE96" s="324" t="n">
        <v>191</v>
      </c>
      <c r="AF96" s="324" t="inlineStr">
        <is>
          <t>Kenol</t>
        </is>
      </c>
      <c r="AG96" s="324" t="n">
        <v>19</v>
      </c>
      <c r="AU96" t="n">
        <v>164</v>
      </c>
      <c r="AV96" t="inlineStr">
        <is>
          <t>NANYUKI BRANCH</t>
        </is>
      </c>
      <c r="AW96" t="n">
        <v>3</v>
      </c>
      <c r="AX96" s="4" t="n"/>
      <c r="AZ96" s="305" t="n"/>
      <c r="BA96" s="305" t="inlineStr">
        <is>
          <t>LAOS</t>
        </is>
      </c>
      <c r="BB96" s="306" t="n">
        <v>95</v>
      </c>
    </row>
    <row r="97">
      <c r="A97" s="305" t="inlineStr">
        <is>
          <t>ARMENIA</t>
        </is>
      </c>
      <c r="B97" s="306" t="n">
        <v>8</v>
      </c>
      <c r="F97" t="inlineStr">
        <is>
          <t>Machinery used to undertake operations under a mining right</t>
        </is>
      </c>
      <c r="M97" s="3" t="n">
        <v>70103</v>
      </c>
      <c r="N97" t="inlineStr">
        <is>
          <t>DADAAAB</t>
        </is>
      </c>
      <c r="R97" s="3" t="inlineStr">
        <is>
          <t>00901</t>
        </is>
      </c>
      <c r="Z97">
        <f>CONCATENATE("Local",AA97)</f>
        <v/>
      </c>
      <c r="AA97" s="323" t="n">
        <v>158</v>
      </c>
      <c r="AB97" s="323" t="inlineStr">
        <is>
          <t>Laikipia West District</t>
        </is>
      </c>
      <c r="AC97" s="323" t="n">
        <v>20</v>
      </c>
      <c r="AE97" s="324" t="n">
        <v>305</v>
      </c>
      <c r="AF97" s="324" t="inlineStr">
        <is>
          <t>Makuyu</t>
        </is>
      </c>
      <c r="AG97" s="324" t="n">
        <v>19</v>
      </c>
      <c r="AU97" t="n">
        <v>174</v>
      </c>
      <c r="AV97" t="inlineStr">
        <is>
          <t>NAROK BRANCH</t>
        </is>
      </c>
      <c r="AW97" t="n">
        <v>3</v>
      </c>
      <c r="AX97" s="4" t="n"/>
      <c r="AZ97" s="305" t="n"/>
      <c r="BA97" s="305" t="inlineStr">
        <is>
          <t>LATVIA</t>
        </is>
      </c>
      <c r="BB97" s="306" t="n">
        <v>96</v>
      </c>
    </row>
    <row r="98">
      <c r="A98" s="305" t="inlineStr">
        <is>
          <t>AUSTRALIA</t>
        </is>
      </c>
      <c r="B98" s="306" t="n">
        <v>9</v>
      </c>
      <c r="F98" t="inlineStr">
        <is>
          <t>Machinery used to undertake operations under a prospecting right</t>
        </is>
      </c>
      <c r="M98" s="3" t="n">
        <v>40112</v>
      </c>
      <c r="N98" t="inlineStr">
        <is>
          <t>DAGO</t>
        </is>
      </c>
      <c r="R98" s="3" t="inlineStr">
        <is>
          <t>00902</t>
        </is>
      </c>
      <c r="Z98">
        <f>CONCATENATE("Local",AA98)</f>
        <v/>
      </c>
      <c r="AA98" s="323" t="n">
        <v>160</v>
      </c>
      <c r="AB98" s="323" t="inlineStr">
        <is>
          <t>Nyahururu District</t>
        </is>
      </c>
      <c r="AC98" s="323" t="n">
        <v>20</v>
      </c>
      <c r="AE98" s="324" t="n">
        <v>322</v>
      </c>
      <c r="AF98" s="324" t="inlineStr">
        <is>
          <t>Maragwa</t>
        </is>
      </c>
      <c r="AG98" s="324" t="n">
        <v>19</v>
      </c>
      <c r="AU98" t="n">
        <v>153</v>
      </c>
      <c r="AV98" t="inlineStr">
        <is>
          <t>NKRUMAH ROAD BRANCH</t>
        </is>
      </c>
      <c r="AW98" t="n">
        <v>3</v>
      </c>
      <c r="AX98" s="4" t="n"/>
      <c r="AZ98" s="305" t="n"/>
      <c r="BA98" s="305" t="inlineStr">
        <is>
          <t>LEBANON</t>
        </is>
      </c>
      <c r="BB98" s="306" t="n">
        <v>97</v>
      </c>
    </row>
    <row r="99">
      <c r="A99" s="305" t="inlineStr">
        <is>
          <t>AUSTRIA</t>
        </is>
      </c>
      <c r="B99" s="306" t="n">
        <v>10</v>
      </c>
      <c r="F99" t="inlineStr">
        <is>
          <t>Other Machinery</t>
        </is>
      </c>
      <c r="M99" s="3" t="inlineStr">
        <is>
          <t>00517</t>
        </is>
      </c>
      <c r="N99" t="inlineStr">
        <is>
          <t>DANDORA</t>
        </is>
      </c>
      <c r="R99" s="3" t="inlineStr">
        <is>
          <t>00903</t>
        </is>
      </c>
      <c r="Z99">
        <f>CONCATENATE("Local",AA99)</f>
        <v/>
      </c>
      <c r="AA99" s="323" t="n">
        <v>39</v>
      </c>
      <c r="AB99" s="323" t="inlineStr">
        <is>
          <t>Lamu District</t>
        </is>
      </c>
      <c r="AC99" s="323" t="n">
        <v>21</v>
      </c>
      <c r="AE99" s="324" t="n">
        <v>449</v>
      </c>
      <c r="AF99" s="324" t="inlineStr">
        <is>
          <t>Saba Saba</t>
        </is>
      </c>
      <c r="AG99" s="324" t="n">
        <v>19</v>
      </c>
      <c r="AU99" t="n">
        <v>167</v>
      </c>
      <c r="AV99" t="inlineStr">
        <is>
          <t>NYAHURURU BRANCH</t>
        </is>
      </c>
      <c r="AW99" t="n">
        <v>3</v>
      </c>
      <c r="AX99" s="4" t="n"/>
      <c r="AZ99" s="305" t="n"/>
      <c r="BA99" s="305" t="inlineStr">
        <is>
          <t>LESOTHO</t>
        </is>
      </c>
      <c r="BB99" s="306" t="n">
        <v>98</v>
      </c>
    </row>
    <row r="100">
      <c r="A100" s="305" t="inlineStr">
        <is>
          <t>AZERBAIJAN</t>
        </is>
      </c>
      <c r="B100" s="306" t="n">
        <v>11</v>
      </c>
      <c r="M100" s="3" t="n">
        <v>40117</v>
      </c>
      <c r="N100" t="inlineStr">
        <is>
          <t>DARAJA MBILI</t>
        </is>
      </c>
      <c r="R100" s="3" t="inlineStr">
        <is>
          <t>00904</t>
        </is>
      </c>
      <c r="Z100">
        <f>CONCATENATE("Local",AA100)</f>
        <v/>
      </c>
      <c r="AA100" s="323" t="n">
        <v>61</v>
      </c>
      <c r="AB100" s="323" t="inlineStr">
        <is>
          <t>Kangundo District</t>
        </is>
      </c>
      <c r="AC100" s="323" t="n">
        <v>22</v>
      </c>
      <c r="AE100" s="324" t="n">
        <v>525</v>
      </c>
      <c r="AF100" s="324" t="inlineStr">
        <is>
          <t>Kipipiri</t>
        </is>
      </c>
      <c r="AG100" s="324" t="n">
        <v>20</v>
      </c>
      <c r="AU100" t="n">
        <v>165</v>
      </c>
      <c r="AV100" t="inlineStr">
        <is>
          <t>NYERI BRANCH</t>
        </is>
      </c>
      <c r="AW100" t="n">
        <v>3</v>
      </c>
      <c r="AX100" s="4" t="n"/>
      <c r="AZ100" s="305" t="n"/>
      <c r="BA100" s="305" t="inlineStr">
        <is>
          <t>LIBERIA</t>
        </is>
      </c>
      <c r="BB100" s="306" t="n">
        <v>99</v>
      </c>
    </row>
    <row r="101">
      <c r="A101" s="305" t="inlineStr">
        <is>
          <t>BAHAMAS</t>
        </is>
      </c>
      <c r="B101" s="306" t="n">
        <v>12</v>
      </c>
      <c r="M101" s="3" t="n">
        <v>40331</v>
      </c>
      <c r="N101" t="inlineStr">
        <is>
          <t>DEDE</t>
        </is>
      </c>
      <c r="R101" s="3" t="inlineStr">
        <is>
          <t>00905</t>
        </is>
      </c>
      <c r="Z101">
        <f>CONCATENATE("Local",AA101)</f>
        <v/>
      </c>
      <c r="AA101" s="323" t="n">
        <v>62</v>
      </c>
      <c r="AB101" s="323" t="inlineStr">
        <is>
          <t>Kathiani District</t>
        </is>
      </c>
      <c r="AC101" s="323" t="n">
        <v>22</v>
      </c>
      <c r="AE101" s="324" t="n">
        <v>526</v>
      </c>
      <c r="AF101" s="324" t="inlineStr">
        <is>
          <t>Mirangini</t>
        </is>
      </c>
      <c r="AG101" s="324" t="n">
        <v>21</v>
      </c>
      <c r="AU101" t="n">
        <v>184</v>
      </c>
      <c r="AV101" t="inlineStr">
        <is>
          <t>OL KALOU BRANCH</t>
        </is>
      </c>
      <c r="AW101" t="n">
        <v>3</v>
      </c>
      <c r="AX101" s="4" t="n"/>
      <c r="AZ101" s="305" t="n"/>
      <c r="BA101" s="305" t="inlineStr">
        <is>
          <t>LIBYA</t>
        </is>
      </c>
      <c r="BB101" s="306" t="n">
        <v>100</v>
      </c>
    </row>
    <row r="102">
      <c r="A102" s="305" t="inlineStr">
        <is>
          <t>BAHRAIN</t>
        </is>
      </c>
      <c r="B102" s="306" t="n">
        <v>13</v>
      </c>
      <c r="M102" s="3" t="n">
        <v>80401</v>
      </c>
      <c r="N102" t="inlineStr">
        <is>
          <t>DIANI BEACH</t>
        </is>
      </c>
      <c r="R102" s="3" t="inlineStr">
        <is>
          <t>01000</t>
        </is>
      </c>
      <c r="Z102">
        <f>CONCATENATE("Local",AA102)</f>
        <v/>
      </c>
      <c r="AA102" s="323" t="n">
        <v>63</v>
      </c>
      <c r="AB102" s="323" t="inlineStr">
        <is>
          <t>Machakos District</t>
        </is>
      </c>
      <c r="AC102" s="323" t="n">
        <v>22</v>
      </c>
      <c r="AE102" s="324" t="n">
        <v>527</v>
      </c>
      <c r="AF102" s="324" t="inlineStr">
        <is>
          <t>Nyandarua Central</t>
        </is>
      </c>
      <c r="AG102" s="324" t="n">
        <v>22</v>
      </c>
      <c r="AU102" t="n">
        <v>214</v>
      </c>
      <c r="AV102" t="inlineStr">
        <is>
          <t>OTHAYA BRANCH</t>
        </is>
      </c>
      <c r="AW102" t="n">
        <v>3</v>
      </c>
      <c r="AX102" s="4" t="n"/>
      <c r="AZ102" s="305" t="n"/>
      <c r="BA102" s="305" t="inlineStr">
        <is>
          <t>LIECHTENSTEIN</t>
        </is>
      </c>
      <c r="BB102" s="306" t="n">
        <v>101</v>
      </c>
    </row>
    <row r="103">
      <c r="A103" s="305" t="inlineStr">
        <is>
          <t>BANGLADESH</t>
        </is>
      </c>
      <c r="B103" s="306" t="n">
        <v>14</v>
      </c>
      <c r="M103" s="3" t="n">
        <v>80104</v>
      </c>
      <c r="N103" t="inlineStr">
        <is>
          <t>DOCKS</t>
        </is>
      </c>
      <c r="R103" s="3" t="inlineStr">
        <is>
          <t>01001</t>
        </is>
      </c>
      <c r="Z103">
        <f>CONCATENATE("Local",AA103)</f>
        <v/>
      </c>
      <c r="AA103" s="323" t="n">
        <v>60</v>
      </c>
      <c r="AB103" s="323" t="inlineStr">
        <is>
          <t>Masinga District</t>
        </is>
      </c>
      <c r="AC103" s="323" t="n">
        <v>22</v>
      </c>
      <c r="AE103" s="324" t="n">
        <v>528</v>
      </c>
      <c r="AF103" s="324" t="inlineStr">
        <is>
          <t>Nyandarua North</t>
        </is>
      </c>
      <c r="AG103" s="324" t="n">
        <v>23</v>
      </c>
      <c r="AU103" t="n">
        <v>208</v>
      </c>
      <c r="AV103" t="inlineStr">
        <is>
          <t>PIONEER HOUSE BRANCH</t>
        </is>
      </c>
      <c r="AW103" t="n">
        <v>3</v>
      </c>
      <c r="AX103" s="4" t="n"/>
      <c r="AZ103" s="305" t="n"/>
      <c r="BA103" s="305" t="inlineStr">
        <is>
          <t>LITHUANIA</t>
        </is>
      </c>
      <c r="BB103" s="306" t="n">
        <v>102</v>
      </c>
    </row>
    <row r="104">
      <c r="A104" s="305" t="inlineStr">
        <is>
          <t>BARBADOS</t>
        </is>
      </c>
      <c r="B104" s="306" t="n">
        <v>15</v>
      </c>
      <c r="M104" s="3" t="n">
        <v>10401</v>
      </c>
      <c r="N104" t="inlineStr">
        <is>
          <t>DOLDOL</t>
        </is>
      </c>
      <c r="R104" s="3" t="inlineStr">
        <is>
          <t>1002</t>
        </is>
      </c>
      <c r="Z104">
        <f>CONCATENATE("Local",AA104)</f>
        <v/>
      </c>
      <c r="AA104" s="323" t="n">
        <v>64</v>
      </c>
      <c r="AB104" s="323" t="inlineStr">
        <is>
          <t>Mwala District</t>
        </is>
      </c>
      <c r="AC104" s="323" t="n">
        <v>22</v>
      </c>
      <c r="AE104" s="324" t="n">
        <v>529</v>
      </c>
      <c r="AF104" s="324" t="inlineStr">
        <is>
          <t>Nyandarua South</t>
        </is>
      </c>
      <c r="AG104" s="324" t="n">
        <v>24</v>
      </c>
      <c r="AU104" t="n">
        <v>209</v>
      </c>
      <c r="AV104" t="inlineStr">
        <is>
          <t>PLAZA BRANCH</t>
        </is>
      </c>
      <c r="AW104" t="n">
        <v>3</v>
      </c>
      <c r="AX104" s="4" t="n"/>
      <c r="AZ104" s="305" t="n"/>
      <c r="BA104" s="305" t="inlineStr">
        <is>
          <t>LUXEMBOURG</t>
        </is>
      </c>
      <c r="BB104" s="306" t="n">
        <v>103</v>
      </c>
    </row>
    <row r="105">
      <c r="A105" s="305" t="inlineStr">
        <is>
          <t>BELARUS</t>
        </is>
      </c>
      <c r="B105" s="306" t="n">
        <v>16</v>
      </c>
      <c r="M105" s="3" t="inlineStr">
        <is>
          <t>01027</t>
        </is>
      </c>
      <c r="N105" t="inlineStr">
        <is>
          <t>DONYO SABUK</t>
        </is>
      </c>
      <c r="R105" s="3" t="inlineStr">
        <is>
          <t>01003</t>
        </is>
      </c>
      <c r="Z105">
        <f>CONCATENATE("Local",AA105)</f>
        <v/>
      </c>
      <c r="AA105" s="323" t="n">
        <v>65</v>
      </c>
      <c r="AB105" s="323" t="inlineStr">
        <is>
          <t>Yatta District</t>
        </is>
      </c>
      <c r="AC105" s="323" t="n">
        <v>22</v>
      </c>
      <c r="AE105" s="324" t="n">
        <v>530</v>
      </c>
      <c r="AF105" s="324" t="inlineStr">
        <is>
          <t>Nyandarua West</t>
        </is>
      </c>
      <c r="AG105" s="324" t="n">
        <v>25</v>
      </c>
      <c r="AU105" t="n">
        <v>171</v>
      </c>
      <c r="AV105" t="inlineStr">
        <is>
          <t>PREMIER BRANCH</t>
        </is>
      </c>
      <c r="AW105" t="n">
        <v>3</v>
      </c>
      <c r="AX105" s="4" t="n"/>
      <c r="AZ105" s="305" t="n"/>
      <c r="BA105" s="305" t="inlineStr">
        <is>
          <t>MACEDONIA</t>
        </is>
      </c>
      <c r="BB105" s="306" t="n">
        <v>104</v>
      </c>
    </row>
    <row r="106">
      <c r="A106" s="305" t="inlineStr">
        <is>
          <t>BELGIUM</t>
        </is>
      </c>
      <c r="B106" s="306" t="n">
        <v>17</v>
      </c>
      <c r="M106" s="3" t="n">
        <v>50213</v>
      </c>
      <c r="N106" t="inlineStr">
        <is>
          <t>DOROFU</t>
        </is>
      </c>
      <c r="R106" s="3" t="inlineStr">
        <is>
          <t>01004</t>
        </is>
      </c>
      <c r="Z106">
        <f>CONCATENATE("Local",AA106)</f>
        <v/>
      </c>
      <c r="AA106" s="323" t="n">
        <v>66</v>
      </c>
      <c r="AB106" s="323" t="inlineStr">
        <is>
          <t>Kathonzweni District</t>
        </is>
      </c>
      <c r="AC106" s="323" t="n">
        <v>23</v>
      </c>
      <c r="AE106" s="324" t="n">
        <v>19</v>
      </c>
      <c r="AF106" s="324" t="inlineStr">
        <is>
          <t>Belview</t>
        </is>
      </c>
      <c r="AG106" s="324" t="n">
        <v>26</v>
      </c>
      <c r="AU106" t="n">
        <v>216</v>
      </c>
      <c r="AV106" t="inlineStr">
        <is>
          <t>QUEENSWAY BRANCH</t>
        </is>
      </c>
      <c r="AW106" t="n">
        <v>3</v>
      </c>
      <c r="AX106" s="4" t="n"/>
      <c r="AZ106" s="305" t="n"/>
      <c r="BA106" s="305" t="inlineStr">
        <is>
          <t>MADAGASCAR</t>
        </is>
      </c>
      <c r="BB106" s="306" t="n">
        <v>105</v>
      </c>
    </row>
    <row r="107">
      <c r="A107" s="305" t="inlineStr">
        <is>
          <t>BELIZE</t>
        </is>
      </c>
      <c r="B107" s="306" t="n">
        <v>18</v>
      </c>
      <c r="M107" s="3" t="n">
        <v>40621</v>
      </c>
      <c r="N107" t="inlineStr">
        <is>
          <t>DUDI</t>
        </is>
      </c>
      <c r="R107" s="3" t="inlineStr">
        <is>
          <t>01005</t>
        </is>
      </c>
      <c r="Z107">
        <f>CONCATENATE("Local",AA107)</f>
        <v/>
      </c>
      <c r="AA107" s="323" t="n">
        <v>67</v>
      </c>
      <c r="AB107" s="323" t="inlineStr">
        <is>
          <t>Kibwezi District</t>
        </is>
      </c>
      <c r="AC107" s="323" t="n">
        <v>23</v>
      </c>
      <c r="AE107" s="324" t="n">
        <v>82</v>
      </c>
      <c r="AF107" s="324" t="inlineStr">
        <is>
          <t>Endarasha</t>
        </is>
      </c>
      <c r="AG107" s="324" t="n">
        <v>26</v>
      </c>
      <c r="AU107" t="n">
        <v>172</v>
      </c>
      <c r="AV107" t="inlineStr">
        <is>
          <t>RIVER ROAD</t>
        </is>
      </c>
      <c r="AW107" t="n">
        <v>3</v>
      </c>
      <c r="AX107" s="4" t="n"/>
      <c r="AZ107" s="305" t="n"/>
      <c r="BA107" s="305" t="inlineStr">
        <is>
          <t>MALAWI</t>
        </is>
      </c>
      <c r="BB107" s="306" t="n">
        <v>106</v>
      </c>
    </row>
    <row r="108">
      <c r="A108" s="305" t="inlineStr">
        <is>
          <t>BENIN</t>
        </is>
      </c>
      <c r="B108" s="306" t="n">
        <v>19</v>
      </c>
      <c r="M108" s="3" t="n">
        <v>20118</v>
      </c>
      <c r="N108" t="inlineStr">
        <is>
          <t>DUNDORI</t>
        </is>
      </c>
      <c r="R108" s="3" t="inlineStr">
        <is>
          <t>01006</t>
        </is>
      </c>
      <c r="Z108">
        <f>CONCATENATE("Local",AA108)</f>
        <v/>
      </c>
      <c r="AA108" s="323" t="n">
        <v>68</v>
      </c>
      <c r="AB108" s="323" t="inlineStr">
        <is>
          <t>Kilungu District</t>
        </is>
      </c>
      <c r="AC108" s="323" t="n">
        <v>23</v>
      </c>
      <c r="AE108" s="324" t="n">
        <v>363</v>
      </c>
      <c r="AF108" s="324" t="inlineStr">
        <is>
          <t>Mugunda</t>
        </is>
      </c>
      <c r="AG108" s="324" t="n">
        <v>26</v>
      </c>
      <c r="AU108" t="n">
        <v>199</v>
      </c>
      <c r="AV108" t="inlineStr">
        <is>
          <t>RUARAKA BRANCH</t>
        </is>
      </c>
      <c r="AW108" t="n">
        <v>3</v>
      </c>
      <c r="AX108" s="4" t="n"/>
      <c r="AZ108" s="305" t="n"/>
      <c r="BA108" s="305" t="inlineStr">
        <is>
          <t>MALAYSIA</t>
        </is>
      </c>
      <c r="BB108" s="306" t="n">
        <v>107</v>
      </c>
    </row>
    <row r="109">
      <c r="A109" s="305" t="inlineStr">
        <is>
          <t>BHUTAN</t>
        </is>
      </c>
      <c r="B109" s="306" t="n">
        <v>20</v>
      </c>
      <c r="M109" s="3" t="inlineStr">
        <is>
          <t>00610</t>
        </is>
      </c>
      <c r="N109" t="inlineStr">
        <is>
          <t>EASTLEIGH</t>
        </is>
      </c>
      <c r="R109" s="3" t="inlineStr">
        <is>
          <t>01007</t>
        </is>
      </c>
      <c r="Z109">
        <f>CONCATENATE("Local",AA109)</f>
        <v/>
      </c>
      <c r="AA109" s="323" t="n">
        <v>69</v>
      </c>
      <c r="AB109" s="323" t="inlineStr">
        <is>
          <t>Makueni District</t>
        </is>
      </c>
      <c r="AC109" s="323" t="n">
        <v>23</v>
      </c>
      <c r="AE109" s="324" t="n">
        <v>389</v>
      </c>
      <c r="AF109" s="324" t="inlineStr">
        <is>
          <t>Mweiga</t>
        </is>
      </c>
      <c r="AG109" s="324" t="n">
        <v>26</v>
      </c>
      <c r="AU109" t="n">
        <v>166</v>
      </c>
      <c r="AV109" t="inlineStr">
        <is>
          <t>THIKA BRANCH</t>
        </is>
      </c>
      <c r="AW109" t="n">
        <v>3</v>
      </c>
      <c r="AX109" s="4" t="n"/>
      <c r="AZ109" s="305" t="n"/>
      <c r="BA109" s="305" t="inlineStr">
        <is>
          <t>MALDIVES</t>
        </is>
      </c>
      <c r="BB109" s="306" t="n">
        <v>108</v>
      </c>
    </row>
    <row r="110">
      <c r="A110" s="305" t="inlineStr">
        <is>
          <t>BOLIVIA</t>
        </is>
      </c>
      <c r="B110" s="306" t="n">
        <v>21</v>
      </c>
      <c r="M110" s="3" t="n">
        <v>20115</v>
      </c>
      <c r="N110" t="inlineStr">
        <is>
          <t>EGERTON UNIVERSITY</t>
        </is>
      </c>
      <c r="R110" s="3" t="inlineStr">
        <is>
          <t>01008</t>
        </is>
      </c>
      <c r="Z110">
        <f>CONCATENATE("Local",AA110)</f>
        <v/>
      </c>
      <c r="AA110" s="323" t="n">
        <v>70</v>
      </c>
      <c r="AB110" s="323" t="inlineStr">
        <is>
          <t>Mbooni East District</t>
        </is>
      </c>
      <c r="AC110" s="323" t="n">
        <v>23</v>
      </c>
      <c r="AE110" s="324" t="n">
        <v>395</v>
      </c>
      <c r="AF110" s="324" t="inlineStr">
        <is>
          <t>Nairutia</t>
        </is>
      </c>
      <c r="AG110" s="324" t="n">
        <v>26</v>
      </c>
      <c r="AU110" t="n">
        <v>198</v>
      </c>
      <c r="AV110" t="inlineStr">
        <is>
          <t>UNION TOWERS BRANCH</t>
        </is>
      </c>
      <c r="AW110" t="n">
        <v>3</v>
      </c>
      <c r="AX110" s="4" t="n"/>
      <c r="AZ110" s="305" t="n"/>
      <c r="BA110" s="305" t="inlineStr">
        <is>
          <t>MALI</t>
        </is>
      </c>
      <c r="BB110" s="306" t="n">
        <v>109</v>
      </c>
    </row>
    <row r="111">
      <c r="A111" s="305" t="inlineStr">
        <is>
          <t>BOSNIA AND HERZEGOVINA</t>
        </is>
      </c>
      <c r="B111" s="306" t="n">
        <v>22</v>
      </c>
      <c r="M111" s="3" t="n">
        <v>90139</v>
      </c>
      <c r="N111" t="inlineStr">
        <is>
          <t>EKALAKALA</t>
        </is>
      </c>
      <c r="R111" s="3" t="inlineStr">
        <is>
          <t>01009</t>
        </is>
      </c>
      <c r="Z111">
        <f>CONCATENATE("Local",AA111)</f>
        <v/>
      </c>
      <c r="AA111" s="323" t="n">
        <v>71</v>
      </c>
      <c r="AB111" s="323" t="inlineStr">
        <is>
          <t>Mbooni West District</t>
        </is>
      </c>
      <c r="AC111" s="323" t="n">
        <v>23</v>
      </c>
      <c r="AE111" s="324" t="n">
        <v>443</v>
      </c>
      <c r="AF111" s="324" t="inlineStr">
        <is>
          <t>Ramuria</t>
        </is>
      </c>
      <c r="AG111" s="324" t="n">
        <v>26</v>
      </c>
      <c r="AU111" t="n">
        <v>192</v>
      </c>
      <c r="AV111" t="inlineStr">
        <is>
          <t>VOI BRANCH</t>
        </is>
      </c>
      <c r="AW111" t="n">
        <v>3</v>
      </c>
      <c r="AX111" s="4" t="n"/>
      <c r="AZ111" s="305" t="n"/>
      <c r="BA111" s="305" t="inlineStr">
        <is>
          <t>MALTA</t>
        </is>
      </c>
      <c r="BB111" s="306" t="n">
        <v>110</v>
      </c>
    </row>
    <row r="112">
      <c r="A112" s="305" t="inlineStr">
        <is>
          <t>BOTSWANA</t>
        </is>
      </c>
      <c r="B112" s="306" t="n">
        <v>23</v>
      </c>
      <c r="M112" s="3" t="n">
        <v>70301</v>
      </c>
      <c r="N112" t="inlineStr">
        <is>
          <t>EL WAK</t>
        </is>
      </c>
      <c r="R112" s="3" t="inlineStr">
        <is>
          <t>01010</t>
        </is>
      </c>
      <c r="Z112">
        <f>CONCATENATE("Local",AA112)</f>
        <v/>
      </c>
      <c r="AA112" s="323" t="n">
        <v>72</v>
      </c>
      <c r="AB112" s="323" t="inlineStr">
        <is>
          <t>Mukaa District</t>
        </is>
      </c>
      <c r="AC112" s="323" t="n">
        <v>23</v>
      </c>
      <c r="AE112" s="324" t="n">
        <v>515</v>
      </c>
      <c r="AF112" s="324" t="inlineStr">
        <is>
          <t>Watuka</t>
        </is>
      </c>
      <c r="AG112" s="324" t="n">
        <v>26</v>
      </c>
      <c r="AU112" t="n">
        <v>191</v>
      </c>
      <c r="AV112" t="inlineStr">
        <is>
          <t>WEBUYE BRANCH</t>
        </is>
      </c>
      <c r="AW112" t="n">
        <v>3</v>
      </c>
      <c r="AX112" s="4" t="n"/>
      <c r="AZ112" s="305" t="n"/>
      <c r="BA112" s="305" t="inlineStr">
        <is>
          <t>MARSHALL ISLANDS</t>
        </is>
      </c>
      <c r="BB112" s="306" t="n">
        <v>111</v>
      </c>
    </row>
    <row r="113">
      <c r="A113" s="305" t="inlineStr">
        <is>
          <t>BRAZIL</t>
        </is>
      </c>
      <c r="B113" s="306" t="n">
        <v>24</v>
      </c>
      <c r="M113" s="3" t="n">
        <v>20102</v>
      </c>
      <c r="N113" t="inlineStr">
        <is>
          <t>ELBURGON</t>
        </is>
      </c>
      <c r="R113" s="3" t="inlineStr">
        <is>
          <t>01011</t>
        </is>
      </c>
      <c r="Z113">
        <f>CONCATENATE("Local",AA113)</f>
        <v/>
      </c>
      <c r="AA113" s="323" t="n">
        <v>73</v>
      </c>
      <c r="AB113" s="323" t="inlineStr">
        <is>
          <t>Nzaui District</t>
        </is>
      </c>
      <c r="AC113" s="323" t="n">
        <v>23</v>
      </c>
      <c r="AE113" s="324" t="n">
        <v>42</v>
      </c>
      <c r="AF113" s="324" t="inlineStr">
        <is>
          <t>Chaka</t>
        </is>
      </c>
      <c r="AG113" s="324" t="n">
        <v>27</v>
      </c>
      <c r="AU113" t="n">
        <v>205</v>
      </c>
      <c r="AV113" t="inlineStr">
        <is>
          <t>WESTLANDS BRANCH</t>
        </is>
      </c>
      <c r="AW113" t="n">
        <v>3</v>
      </c>
      <c r="AX113" s="4" t="n"/>
      <c r="AZ113" s="305" t="n"/>
      <c r="BA113" s="305" t="inlineStr">
        <is>
          <t>MAURITANIA</t>
        </is>
      </c>
      <c r="BB113" s="306" t="n">
        <v>112</v>
      </c>
    </row>
    <row r="114">
      <c r="A114" s="305" t="inlineStr">
        <is>
          <t>BRUNEI</t>
        </is>
      </c>
      <c r="B114" s="306" t="n">
        <v>25</v>
      </c>
      <c r="M114" s="3" t="n">
        <v>20103</v>
      </c>
      <c r="N114" t="inlineStr">
        <is>
          <t>ELDAMA RAVINE</t>
        </is>
      </c>
      <c r="R114" s="3" t="inlineStr">
        <is>
          <t>01012</t>
        </is>
      </c>
      <c r="Z114">
        <f>CONCATENATE("Local",AA114)</f>
        <v/>
      </c>
      <c r="AA114" s="323" t="n">
        <v>214</v>
      </c>
      <c r="AB114" s="323" t="inlineStr">
        <is>
          <t>Banisa District</t>
        </is>
      </c>
      <c r="AC114" s="323" t="n">
        <v>24</v>
      </c>
      <c r="AE114" s="324" t="n">
        <v>135</v>
      </c>
      <c r="AF114" s="324" t="inlineStr">
        <is>
          <t>Kabaru</t>
        </is>
      </c>
      <c r="AG114" s="324" t="n">
        <v>27</v>
      </c>
      <c r="AU114" t="n">
        <v>243</v>
      </c>
      <c r="AV114" t="inlineStr">
        <is>
          <t>ELDORET BRANCH</t>
        </is>
      </c>
      <c r="AW114" t="n">
        <v>9</v>
      </c>
      <c r="AX114" s="4" t="n"/>
      <c r="AZ114" s="305" t="n"/>
      <c r="BA114" s="305" t="inlineStr">
        <is>
          <t>MAURITIUS</t>
        </is>
      </c>
      <c r="BB114" s="306" t="n">
        <v>113</v>
      </c>
    </row>
    <row r="115">
      <c r="A115" s="305" t="inlineStr">
        <is>
          <t>BULGARIA</t>
        </is>
      </c>
      <c r="B115" s="306" t="n">
        <v>26</v>
      </c>
      <c r="M115" s="3" t="n">
        <v>30100</v>
      </c>
      <c r="N115" t="inlineStr">
        <is>
          <t>ELDORET</t>
        </is>
      </c>
      <c r="R115" s="3" t="inlineStr">
        <is>
          <t>01013</t>
        </is>
      </c>
      <c r="Z115">
        <f>CONCATENATE("Local",AA115)</f>
        <v/>
      </c>
      <c r="AA115" s="323" t="n">
        <v>98</v>
      </c>
      <c r="AB115" s="323" t="inlineStr">
        <is>
          <t>Mandera Central District</t>
        </is>
      </c>
      <c r="AC115" s="323" t="n">
        <v>24</v>
      </c>
      <c r="AE115" s="324" t="n">
        <v>215</v>
      </c>
      <c r="AF115" s="324" t="inlineStr">
        <is>
          <t>Kiganjo</t>
        </is>
      </c>
      <c r="AG115" s="324" t="n">
        <v>27</v>
      </c>
      <c r="AU115" t="n">
        <v>240</v>
      </c>
      <c r="AV115" t="inlineStr">
        <is>
          <t>HAILE SELASSIE AVENUE</t>
        </is>
      </c>
      <c r="AW115" t="n">
        <v>9</v>
      </c>
      <c r="AX115" s="4" t="n"/>
      <c r="AZ115" s="305" t="n"/>
      <c r="BA115" s="305" t="inlineStr">
        <is>
          <t>MEXICO</t>
        </is>
      </c>
      <c r="BB115" s="306" t="n">
        <v>114</v>
      </c>
    </row>
    <row r="116">
      <c r="A116" s="305" t="inlineStr">
        <is>
          <t>BURKINA FASO</t>
        </is>
      </c>
      <c r="B116" s="306" t="n">
        <v>27</v>
      </c>
      <c r="M116" s="3" t="n">
        <v>30124</v>
      </c>
      <c r="N116" t="inlineStr">
        <is>
          <t>ELDORET AIRPORT</t>
        </is>
      </c>
      <c r="R116" s="3" t="inlineStr">
        <is>
          <t>01014</t>
        </is>
      </c>
      <c r="Z116">
        <f>CONCATENATE("Local",AA116)</f>
        <v/>
      </c>
      <c r="AA116" s="323" t="n">
        <v>99</v>
      </c>
      <c r="AB116" s="323" t="inlineStr">
        <is>
          <t>Mandera East District</t>
        </is>
      </c>
      <c r="AC116" s="323" t="n">
        <v>24</v>
      </c>
      <c r="AE116" s="324" t="n">
        <v>346</v>
      </c>
      <c r="AF116" s="324" t="inlineStr">
        <is>
          <t>Mbilili</t>
        </is>
      </c>
      <c r="AG116" s="324" t="n">
        <v>27</v>
      </c>
      <c r="AU116" t="n">
        <v>239</v>
      </c>
      <c r="AV116" t="inlineStr">
        <is>
          <t>HEAD OFFICE</t>
        </is>
      </c>
      <c r="AW116" t="n">
        <v>9</v>
      </c>
      <c r="AX116" s="4" t="n"/>
      <c r="AZ116" s="305" t="n"/>
      <c r="BA116" s="305" t="inlineStr">
        <is>
          <t>MICRONESIA</t>
        </is>
      </c>
      <c r="BB116" s="306" t="n">
        <v>115</v>
      </c>
    </row>
    <row r="117">
      <c r="A117" s="305" t="inlineStr">
        <is>
          <t>BURUNDI</t>
        </is>
      </c>
      <c r="B117" s="306" t="n">
        <v>28</v>
      </c>
      <c r="M117" s="3" t="n">
        <v>20119</v>
      </c>
      <c r="N117" t="inlineStr">
        <is>
          <t>ELMENTAITA</t>
        </is>
      </c>
      <c r="R117" s="3" t="inlineStr">
        <is>
          <t>01015</t>
        </is>
      </c>
      <c r="Z117">
        <f>CONCATENATE("Local",AA117)</f>
        <v/>
      </c>
      <c r="AA117" s="323" t="n">
        <v>100</v>
      </c>
      <c r="AB117" s="323" t="inlineStr">
        <is>
          <t>Mandera North District</t>
        </is>
      </c>
      <c r="AC117" s="323" t="n">
        <v>24</v>
      </c>
      <c r="AE117" s="324" t="n">
        <v>376</v>
      </c>
      <c r="AF117" s="324" t="inlineStr">
        <is>
          <t>Munyu</t>
        </is>
      </c>
      <c r="AG117" s="324" t="n">
        <v>27</v>
      </c>
      <c r="AU117" t="n">
        <v>242</v>
      </c>
      <c r="AV117" t="inlineStr">
        <is>
          <t>KISUMU CURRENCY CENTRE</t>
        </is>
      </c>
      <c r="AW117" t="n">
        <v>9</v>
      </c>
      <c r="AX117" s="4" t="n"/>
      <c r="AZ117" s="305" t="n"/>
      <c r="BA117" s="305" t="inlineStr">
        <is>
          <t>MOLDOVA</t>
        </is>
      </c>
      <c r="BB117" s="306" t="n">
        <v>116</v>
      </c>
    </row>
    <row r="118">
      <c r="A118" s="305" t="inlineStr">
        <is>
          <t>CAMBODIA</t>
        </is>
      </c>
      <c r="B118" s="306" t="n">
        <v>29</v>
      </c>
      <c r="M118" s="3" t="n">
        <v>50429</v>
      </c>
      <c r="N118" t="inlineStr">
        <is>
          <t>ELUGULU</t>
        </is>
      </c>
      <c r="R118" s="3" t="inlineStr">
        <is>
          <t>1016</t>
        </is>
      </c>
      <c r="Z118">
        <f>CONCATENATE("Local",AA118)</f>
        <v/>
      </c>
      <c r="AA118" s="323" t="n">
        <v>101</v>
      </c>
      <c r="AB118" s="323" t="inlineStr">
        <is>
          <t>Mandera West District</t>
        </is>
      </c>
      <c r="AC118" s="323" t="n">
        <v>24</v>
      </c>
      <c r="AE118" s="324" t="n">
        <v>408</v>
      </c>
      <c r="AF118" s="324" t="inlineStr">
        <is>
          <t>Narumoru</t>
        </is>
      </c>
      <c r="AG118" s="324" t="n">
        <v>27</v>
      </c>
      <c r="AU118" t="n">
        <v>241</v>
      </c>
      <c r="AV118" t="inlineStr">
        <is>
          <t>MOMBASA BRANCH</t>
        </is>
      </c>
      <c r="AW118" t="n">
        <v>9</v>
      </c>
      <c r="AX118" s="4" t="n"/>
      <c r="AZ118" s="305" t="n"/>
      <c r="BA118" s="305" t="inlineStr">
        <is>
          <t>MONACO</t>
        </is>
      </c>
      <c r="BB118" s="306" t="n">
        <v>117</v>
      </c>
    </row>
    <row r="119">
      <c r="A119" s="305" t="inlineStr">
        <is>
          <t>CAMEROON</t>
        </is>
      </c>
      <c r="B119" s="306" t="n">
        <v>30</v>
      </c>
      <c r="M119" s="3" t="n">
        <v>90121</v>
      </c>
      <c r="N119" t="inlineStr">
        <is>
          <t>EMALI</t>
        </is>
      </c>
      <c r="R119" s="3" t="inlineStr">
        <is>
          <t>01017</t>
        </is>
      </c>
      <c r="Z119">
        <f>CONCATENATE("Local",AA119)</f>
        <v/>
      </c>
      <c r="AA119" s="323" t="n">
        <v>74</v>
      </c>
      <c r="AB119" s="323" t="inlineStr">
        <is>
          <t>Marsabit District</t>
        </is>
      </c>
      <c r="AC119" s="323" t="n">
        <v>25</v>
      </c>
      <c r="AE119" s="324" t="n">
        <v>531</v>
      </c>
      <c r="AF119" s="324" t="inlineStr">
        <is>
          <t>Mukurueini</t>
        </is>
      </c>
      <c r="AG119" s="324" t="n">
        <v>28</v>
      </c>
      <c r="AU119" t="n">
        <v>939</v>
      </c>
      <c r="AV119" t="inlineStr">
        <is>
          <t>OLAP</t>
        </is>
      </c>
      <c r="AW119" t="n">
        <v>9</v>
      </c>
      <c r="AX119" s="4" t="n"/>
      <c r="AZ119" s="305" t="n"/>
      <c r="BA119" s="305" t="inlineStr">
        <is>
          <t>MONGOLIA</t>
        </is>
      </c>
      <c r="BB119" s="306" t="n">
        <v>118</v>
      </c>
    </row>
    <row r="120">
      <c r="A120" s="305" t="inlineStr">
        <is>
          <t>CANADA</t>
        </is>
      </c>
      <c r="B120" s="306" t="n">
        <v>31</v>
      </c>
      <c r="M120" s="3" t="n">
        <v>50110</v>
      </c>
      <c r="N120" t="inlineStr">
        <is>
          <t>EMARINDA</t>
        </is>
      </c>
      <c r="R120" s="3" t="inlineStr">
        <is>
          <t>01018</t>
        </is>
      </c>
      <c r="Z120">
        <f>CONCATENATE("Local",AA120)</f>
        <v/>
      </c>
      <c r="AA120" s="323" t="n">
        <v>75</v>
      </c>
      <c r="AB120" s="323" t="inlineStr">
        <is>
          <t>Marsabit North District</t>
        </is>
      </c>
      <c r="AC120" s="323" t="n">
        <v>25</v>
      </c>
      <c r="AE120" s="324" t="n">
        <v>367</v>
      </c>
      <c r="AF120" s="324" t="inlineStr">
        <is>
          <t>Mukurweini</t>
        </is>
      </c>
      <c r="AG120" s="324" t="n">
        <v>28</v>
      </c>
      <c r="AU120" t="n">
        <v>350</v>
      </c>
      <c r="AV120" t="inlineStr">
        <is>
          <t>CHIROMO BRANCH</t>
        </is>
      </c>
      <c r="AW120" t="n">
        <v>32</v>
      </c>
      <c r="AX120" s="4" t="n"/>
      <c r="AZ120" s="305" t="n"/>
      <c r="BA120" s="305" t="inlineStr">
        <is>
          <t>MONTENEGRO</t>
        </is>
      </c>
      <c r="BB120" s="306" t="n">
        <v>119</v>
      </c>
    </row>
    <row r="121">
      <c r="A121" s="305" t="inlineStr">
        <is>
          <t>CAPE VERDE</t>
        </is>
      </c>
      <c r="B121" s="306" t="n">
        <v>32</v>
      </c>
      <c r="M121" s="3" t="inlineStr">
        <is>
          <t>00501</t>
        </is>
      </c>
      <c r="N121" t="inlineStr">
        <is>
          <t>EMBAKASI</t>
        </is>
      </c>
      <c r="R121" s="3" t="inlineStr">
        <is>
          <t>01019</t>
        </is>
      </c>
      <c r="Z121">
        <f>CONCATENATE("Local",AA121)</f>
        <v/>
      </c>
      <c r="AA121" s="323" t="n">
        <v>76</v>
      </c>
      <c r="AB121" s="323" t="inlineStr">
        <is>
          <t>Marsabit South District</t>
        </is>
      </c>
      <c r="AC121" s="323" t="n">
        <v>25</v>
      </c>
      <c r="AE121" s="324" t="n">
        <v>104</v>
      </c>
      <c r="AF121" s="324" t="inlineStr">
        <is>
          <t>Giakanja</t>
        </is>
      </c>
      <c r="AG121" s="324" t="n">
        <v>29</v>
      </c>
      <c r="AU121" t="n">
        <v>351</v>
      </c>
      <c r="AV121" t="inlineStr">
        <is>
          <t>HEAD OFFICE</t>
        </is>
      </c>
      <c r="AW121" t="n">
        <v>32</v>
      </c>
      <c r="AX121" s="4" t="n"/>
      <c r="AZ121" s="305" t="n"/>
      <c r="BA121" s="305" t="inlineStr">
        <is>
          <t>MOROCCO</t>
        </is>
      </c>
      <c r="BB121" s="306" t="n">
        <v>120</v>
      </c>
    </row>
    <row r="122">
      <c r="A122" s="305" t="inlineStr">
        <is>
          <t>CENTRAL AFRICAN REPUBLIC</t>
        </is>
      </c>
      <c r="B122" s="306" t="n">
        <v>33</v>
      </c>
      <c r="M122" s="3" t="n">
        <v>60100</v>
      </c>
      <c r="N122" t="inlineStr">
        <is>
          <t>EMBU</t>
        </is>
      </c>
      <c r="R122" s="3" t="inlineStr">
        <is>
          <t>01020</t>
        </is>
      </c>
      <c r="Z122">
        <f>CONCATENATE("Local",AA122)</f>
        <v/>
      </c>
      <c r="AA122" s="323" t="n">
        <v>77</v>
      </c>
      <c r="AB122" s="323" t="inlineStr">
        <is>
          <t>Moyale District</t>
        </is>
      </c>
      <c r="AC122" s="323" t="n">
        <v>25</v>
      </c>
      <c r="AE122" s="324" t="n">
        <v>154</v>
      </c>
      <c r="AF122" s="324" t="inlineStr">
        <is>
          <t>Kamakwa</t>
        </is>
      </c>
      <c r="AG122" s="324" t="n">
        <v>29</v>
      </c>
      <c r="AU122" t="n">
        <v>352</v>
      </c>
      <c r="AV122" t="inlineStr">
        <is>
          <t>NKRUMAH ROAD BRANCH</t>
        </is>
      </c>
      <c r="AW122" t="n">
        <v>32</v>
      </c>
      <c r="AX122" s="4" t="n"/>
      <c r="AZ122" s="305" t="n"/>
      <c r="BA122" s="305" t="inlineStr">
        <is>
          <t>MOZAMBIQUE</t>
        </is>
      </c>
      <c r="BB122" s="306" t="n">
        <v>121</v>
      </c>
    </row>
    <row r="123">
      <c r="A123" s="305" t="inlineStr">
        <is>
          <t>CHAD</t>
        </is>
      </c>
      <c r="B123" s="306" t="n">
        <v>34</v>
      </c>
      <c r="M123" s="3" t="n">
        <v>20140</v>
      </c>
      <c r="N123" t="inlineStr">
        <is>
          <t>EMINING NAKURU</t>
        </is>
      </c>
      <c r="R123" s="3" t="inlineStr">
        <is>
          <t>01021</t>
        </is>
      </c>
      <c r="Z123">
        <f>CONCATENATE("Local",AA123)</f>
        <v/>
      </c>
      <c r="AA123" s="323" t="n">
        <v>79</v>
      </c>
      <c r="AB123" s="323" t="inlineStr">
        <is>
          <t>Buuri District</t>
        </is>
      </c>
      <c r="AC123" s="323" t="n">
        <v>26</v>
      </c>
      <c r="AE123" s="324" t="n">
        <v>229</v>
      </c>
      <c r="AF123" s="324" t="inlineStr">
        <is>
          <t>Kingongo</t>
        </is>
      </c>
      <c r="AG123" s="324" t="n">
        <v>29</v>
      </c>
      <c r="AU123" t="n">
        <v>353</v>
      </c>
      <c r="AV123" t="inlineStr">
        <is>
          <t>UPPER HILL BRANCH</t>
        </is>
      </c>
      <c r="AW123" t="n">
        <v>32</v>
      </c>
      <c r="AX123" s="4" t="n"/>
      <c r="AZ123" s="305" t="n"/>
      <c r="BA123" s="305" t="inlineStr">
        <is>
          <t>MYANMAR (BURMA)</t>
        </is>
      </c>
      <c r="BB123" s="306" t="n">
        <v>122</v>
      </c>
    </row>
    <row r="124">
      <c r="A124" s="305" t="inlineStr">
        <is>
          <t>CHILE</t>
        </is>
      </c>
      <c r="B124" s="306" t="n">
        <v>35</v>
      </c>
      <c r="M124" s="3" t="n">
        <v>50314</v>
      </c>
      <c r="N124" t="inlineStr">
        <is>
          <t>EMUHAY</t>
        </is>
      </c>
      <c r="R124" s="3" t="inlineStr">
        <is>
          <t>1022</t>
        </is>
      </c>
      <c r="Z124">
        <f>CONCATENATE("Local",AA124)</f>
        <v/>
      </c>
      <c r="AA124" s="323" t="n">
        <v>80</v>
      </c>
      <c r="AB124" s="323" t="inlineStr">
        <is>
          <t>Igembe North District</t>
        </is>
      </c>
      <c r="AC124" s="323" t="n">
        <v>26</v>
      </c>
      <c r="AE124" s="324" t="n">
        <v>236</v>
      </c>
      <c r="AF124" s="324" t="inlineStr">
        <is>
          <t>Kiricho</t>
        </is>
      </c>
      <c r="AG124" s="324" t="n">
        <v>29</v>
      </c>
      <c r="AU124" t="n">
        <v>346</v>
      </c>
      <c r="AV124" t="inlineStr">
        <is>
          <t>HEAD OFFICE</t>
        </is>
      </c>
      <c r="AW124" t="n">
        <v>30</v>
      </c>
      <c r="AX124" s="4" t="n"/>
      <c r="AZ124" s="305" t="n"/>
      <c r="BA124" s="305" t="inlineStr">
        <is>
          <t>NAMIBIA</t>
        </is>
      </c>
      <c r="BB124" s="306" t="n">
        <v>123</v>
      </c>
    </row>
    <row r="125">
      <c r="A125" s="305" t="inlineStr">
        <is>
          <t>CHINA</t>
        </is>
      </c>
      <c r="B125" s="306" t="n">
        <v>36</v>
      </c>
      <c r="M125" s="3" t="n">
        <v>10107</v>
      </c>
      <c r="N125" t="inlineStr">
        <is>
          <t>ENDARASHA</t>
        </is>
      </c>
      <c r="R125" s="3" t="inlineStr">
        <is>
          <t>1023</t>
        </is>
      </c>
      <c r="Z125">
        <f>CONCATENATE("Local",AA125)</f>
        <v/>
      </c>
      <c r="AA125" s="323" t="n">
        <v>81</v>
      </c>
      <c r="AB125" s="323" t="inlineStr">
        <is>
          <t>Igembe South District</t>
        </is>
      </c>
      <c r="AC125" s="323" t="n">
        <v>26</v>
      </c>
      <c r="AE125" s="324" t="n">
        <v>331</v>
      </c>
      <c r="AF125" s="324" t="inlineStr">
        <is>
          <t>Marua</t>
        </is>
      </c>
      <c r="AG125" s="324" t="n">
        <v>29</v>
      </c>
      <c r="AU125" t="n">
        <v>345</v>
      </c>
      <c r="AV125" t="inlineStr">
        <is>
          <t>KISUMU BRANCH</t>
        </is>
      </c>
      <c r="AW125" t="n">
        <v>30</v>
      </c>
      <c r="AX125" s="4" t="n"/>
      <c r="AZ125" s="305" t="n"/>
      <c r="BA125" s="305" t="inlineStr">
        <is>
          <t>NAURU</t>
        </is>
      </c>
      <c r="BB125" s="306" t="n">
        <v>124</v>
      </c>
    </row>
    <row r="126">
      <c r="A126" s="305" t="inlineStr">
        <is>
          <t>COLOMBIA</t>
        </is>
      </c>
      <c r="B126" s="306" t="n">
        <v>37</v>
      </c>
      <c r="M126" s="3" t="n">
        <v>90206</v>
      </c>
      <c r="N126" t="inlineStr">
        <is>
          <t>ENDAU</t>
        </is>
      </c>
      <c r="R126" s="3" t="inlineStr">
        <is>
          <t>1024</t>
        </is>
      </c>
      <c r="Z126">
        <f>CONCATENATE("Local",AA126)</f>
        <v/>
      </c>
      <c r="AA126" s="323" t="n">
        <v>82</v>
      </c>
      <c r="AB126" s="323" t="inlineStr">
        <is>
          <t>Imenti North District</t>
        </is>
      </c>
      <c r="AC126" s="323" t="n">
        <v>26</v>
      </c>
      <c r="AE126" s="324" t="n">
        <v>432</v>
      </c>
      <c r="AF126" s="324" t="inlineStr">
        <is>
          <t>Nyeri Town</t>
        </is>
      </c>
      <c r="AG126" s="324" t="n">
        <v>29</v>
      </c>
      <c r="AU126" t="n">
        <v>347</v>
      </c>
      <c r="AV126" t="inlineStr">
        <is>
          <t>PARKLANDS</t>
        </is>
      </c>
      <c r="AW126" t="n">
        <v>30</v>
      </c>
      <c r="AX126" s="4" t="n"/>
      <c r="AZ126" s="305" t="n"/>
      <c r="BA126" s="305" t="inlineStr">
        <is>
          <t>NEPAL</t>
        </is>
      </c>
      <c r="BB126" s="306" t="n">
        <v>125</v>
      </c>
    </row>
    <row r="127">
      <c r="A127" s="305" t="inlineStr">
        <is>
          <t>COMOROS</t>
        </is>
      </c>
      <c r="B127" s="306" t="n">
        <v>38</v>
      </c>
      <c r="M127" s="3" t="n">
        <v>30201</v>
      </c>
      <c r="N127" t="inlineStr">
        <is>
          <t>ENDEBESS</t>
        </is>
      </c>
      <c r="R127" s="3" t="inlineStr">
        <is>
          <t>01025</t>
        </is>
      </c>
      <c r="Z127">
        <f>CONCATENATE("Local",AA127)</f>
        <v/>
      </c>
      <c r="AA127" s="323" t="n">
        <v>83</v>
      </c>
      <c r="AB127" s="323" t="inlineStr">
        <is>
          <t>Imenti South District</t>
        </is>
      </c>
      <c r="AC127" s="323" t="n">
        <v>26</v>
      </c>
      <c r="AE127" s="324" t="n">
        <v>448</v>
      </c>
      <c r="AF127" s="324" t="inlineStr">
        <is>
          <t>Ruringu</t>
        </is>
      </c>
      <c r="AG127" s="324" t="n">
        <v>29</v>
      </c>
      <c r="AU127" t="n">
        <v>319</v>
      </c>
      <c r="AV127" t="inlineStr">
        <is>
          <t>HEAD OFFICE</t>
        </is>
      </c>
      <c r="AW127" t="n">
        <v>16</v>
      </c>
      <c r="AX127" s="4" t="n"/>
      <c r="AZ127" s="305" t="n"/>
      <c r="BA127" s="305" t="inlineStr">
        <is>
          <t>NETHERLANDS</t>
        </is>
      </c>
      <c r="BB127" s="306" t="n">
        <v>126</v>
      </c>
    </row>
    <row r="128">
      <c r="A128" s="305" t="inlineStr">
        <is>
          <t>CONGO, REPUBLIC OF THE</t>
        </is>
      </c>
      <c r="B128" s="306" t="n">
        <v>39</v>
      </c>
      <c r="M128" s="3" t="n">
        <v>40703</v>
      </c>
      <c r="N128" t="inlineStr">
        <is>
          <t>ENOSAEN</t>
        </is>
      </c>
      <c r="R128" s="3" t="inlineStr">
        <is>
          <t>01026</t>
        </is>
      </c>
      <c r="Z128">
        <f>CONCATENATE("Local",AA128)</f>
        <v/>
      </c>
      <c r="AA128" s="323" t="n">
        <v>78</v>
      </c>
      <c r="AB128" s="323" t="inlineStr">
        <is>
          <t>Maara District</t>
        </is>
      </c>
      <c r="AC128" s="323" t="n">
        <v>26</v>
      </c>
      <c r="AE128" s="324" t="n">
        <v>532</v>
      </c>
      <c r="AF128" s="324" t="inlineStr">
        <is>
          <t>Nyeri East</t>
        </is>
      </c>
      <c r="AG128" s="324" t="n">
        <v>30</v>
      </c>
      <c r="AU128" t="n">
        <v>320</v>
      </c>
      <c r="AV128" t="inlineStr">
        <is>
          <t>MOMBASA BRANCH</t>
        </is>
      </c>
      <c r="AW128" t="n">
        <v>16</v>
      </c>
      <c r="AX128" s="4" t="n"/>
      <c r="AZ128" s="305" t="n"/>
      <c r="BA128" s="305" t="inlineStr">
        <is>
          <t>NEW ZEALAND</t>
        </is>
      </c>
      <c r="BB128" s="306" t="n">
        <v>127</v>
      </c>
    </row>
    <row r="129">
      <c r="A129" s="305" t="inlineStr">
        <is>
          <t>CONGO, DEMOCRATIC REPUBLIC OF THE</t>
        </is>
      </c>
      <c r="B129" s="306" t="n">
        <v>40</v>
      </c>
      <c r="M129" s="3" t="inlineStr">
        <is>
          <t>00500</t>
        </is>
      </c>
      <c r="N129" t="inlineStr">
        <is>
          <t>ENTERPRISE ROAD</t>
        </is>
      </c>
      <c r="R129" s="3" t="inlineStr">
        <is>
          <t>01027</t>
        </is>
      </c>
      <c r="Z129">
        <f>CONCATENATE("Local",AA129)</f>
        <v/>
      </c>
      <c r="AA129" s="323" t="n">
        <v>84</v>
      </c>
      <c r="AB129" s="323" t="inlineStr">
        <is>
          <t>Meru Central District</t>
        </is>
      </c>
      <c r="AC129" s="323" t="n">
        <v>26</v>
      </c>
      <c r="AE129" s="324" t="n">
        <v>22</v>
      </c>
      <c r="AF129" s="324" t="inlineStr">
        <is>
          <t>Birithia</t>
        </is>
      </c>
      <c r="AG129" s="324" t="n">
        <v>31</v>
      </c>
      <c r="AU129" t="n">
        <v>321</v>
      </c>
      <c r="AV129" t="inlineStr">
        <is>
          <t>UN GIGIRI BRANCH</t>
        </is>
      </c>
      <c r="AW129" t="n">
        <v>16</v>
      </c>
      <c r="AX129" s="4" t="n"/>
      <c r="AZ129" s="305" t="n"/>
      <c r="BA129" s="305" t="inlineStr">
        <is>
          <t>NICARAGUA</t>
        </is>
      </c>
      <c r="BB129" s="306" t="n">
        <v>128</v>
      </c>
    </row>
    <row r="130">
      <c r="A130" s="305" t="inlineStr">
        <is>
          <t>COSTA RICA</t>
        </is>
      </c>
      <c r="B130" s="306" t="n">
        <v>41</v>
      </c>
      <c r="M130" s="3" t="n">
        <v>30122</v>
      </c>
      <c r="N130" t="inlineStr">
        <is>
          <t>EQUATOR</t>
        </is>
      </c>
      <c r="R130" s="3" t="inlineStr">
        <is>
          <t>01028</t>
        </is>
      </c>
      <c r="Z130">
        <f>CONCATENATE("Local",AA130)</f>
        <v/>
      </c>
      <c r="AA130" s="323" t="n">
        <v>85</v>
      </c>
      <c r="AB130" s="323" t="inlineStr">
        <is>
          <t>Meru South District</t>
        </is>
      </c>
      <c r="AC130" s="323" t="n">
        <v>26</v>
      </c>
      <c r="AE130" s="324" t="n">
        <v>54</v>
      </c>
      <c r="AF130" s="324" t="inlineStr">
        <is>
          <t>Chinga</t>
        </is>
      </c>
      <c r="AG130" s="324" t="n">
        <v>31</v>
      </c>
      <c r="AU130" t="n">
        <v>387</v>
      </c>
      <c r="AV130" t="inlineStr">
        <is>
          <t>HEAD OFFICE</t>
        </is>
      </c>
      <c r="AW130" t="n">
        <v>51</v>
      </c>
      <c r="AX130" s="4" t="n"/>
      <c r="AZ130" s="305" t="n"/>
      <c r="BA130" s="305" t="inlineStr">
        <is>
          <t>NIGER</t>
        </is>
      </c>
      <c r="BB130" s="306" t="n">
        <v>129</v>
      </c>
    </row>
    <row r="131">
      <c r="A131" s="305" t="inlineStr">
        <is>
          <t>COTE DIVOIRE</t>
        </is>
      </c>
      <c r="B131" s="306" t="n">
        <v>42</v>
      </c>
      <c r="M131" s="3" t="n">
        <v>50303</v>
      </c>
      <c r="N131" t="inlineStr">
        <is>
          <t>EREGI</t>
        </is>
      </c>
      <c r="R131" s="3" t="inlineStr">
        <is>
          <t>1029</t>
        </is>
      </c>
      <c r="Z131">
        <f>CONCATENATE("Local",AA131)</f>
        <v/>
      </c>
      <c r="AA131" s="323" t="n">
        <v>86</v>
      </c>
      <c r="AB131" s="323" t="inlineStr">
        <is>
          <t>Tigania East District</t>
        </is>
      </c>
      <c r="AC131" s="323" t="n">
        <v>26</v>
      </c>
      <c r="AE131" s="324" t="n">
        <v>179</v>
      </c>
      <c r="AF131" s="324" t="inlineStr">
        <is>
          <t>Karima</t>
        </is>
      </c>
      <c r="AG131" s="324" t="n">
        <v>31</v>
      </c>
      <c r="AU131" t="n">
        <v>389</v>
      </c>
      <c r="AV131" t="inlineStr">
        <is>
          <t>INDUSTRIAL AREA BRANCH</t>
        </is>
      </c>
      <c r="AW131" t="n">
        <v>51</v>
      </c>
      <c r="AX131" s="4" t="n"/>
      <c r="AZ131" s="305" t="n"/>
      <c r="BA131" s="305" t="inlineStr">
        <is>
          <t>NIGERIA</t>
        </is>
      </c>
      <c r="BB131" s="306" t="n">
        <v>130</v>
      </c>
    </row>
    <row r="132">
      <c r="A132" s="305" t="inlineStr">
        <is>
          <t>CROATIA</t>
        </is>
      </c>
      <c r="B132" s="306" t="n">
        <v>43</v>
      </c>
      <c r="M132" s="3" t="inlineStr">
        <is>
          <t>00620</t>
        </is>
      </c>
      <c r="N132" t="inlineStr">
        <is>
          <t>ESSO PLAZA</t>
        </is>
      </c>
      <c r="R132" s="3" t="inlineStr">
        <is>
          <t>01030</t>
        </is>
      </c>
      <c r="Z132">
        <f>CONCATENATE("Local",AA132)</f>
        <v/>
      </c>
      <c r="AA132" s="323" t="n">
        <v>87</v>
      </c>
      <c r="AB132" s="323" t="inlineStr">
        <is>
          <t>Tigania West District</t>
        </is>
      </c>
      <c r="AC132" s="323" t="n">
        <v>26</v>
      </c>
      <c r="AE132" s="324" t="n">
        <v>419</v>
      </c>
      <c r="AF132" s="324" t="inlineStr">
        <is>
          <t>Ndunyu</t>
        </is>
      </c>
      <c r="AG132" s="324" t="n">
        <v>31</v>
      </c>
      <c r="AU132" t="n">
        <v>388</v>
      </c>
      <c r="AV132" t="inlineStr">
        <is>
          <t>KOINANGE STREET</t>
        </is>
      </c>
      <c r="AW132" t="n">
        <v>51</v>
      </c>
      <c r="AX132" s="4" t="n"/>
      <c r="AZ132" s="305" t="n"/>
      <c r="BA132" s="305" t="inlineStr">
        <is>
          <t>NORWAY</t>
        </is>
      </c>
      <c r="BB132" s="306" t="n">
        <v>131</v>
      </c>
    </row>
    <row r="133">
      <c r="A133" s="305" t="inlineStr">
        <is>
          <t>CUBA</t>
        </is>
      </c>
      <c r="B133" s="306" t="n">
        <v>44</v>
      </c>
      <c r="M133" s="3" t="n">
        <v>40208</v>
      </c>
      <c r="N133" t="inlineStr">
        <is>
          <t>ETAGO</t>
        </is>
      </c>
      <c r="R133" s="3" t="inlineStr">
        <is>
          <t>01031</t>
        </is>
      </c>
      <c r="Z133">
        <f>CONCATENATE("Local",AA133)</f>
        <v/>
      </c>
      <c r="AA133" s="323" t="n">
        <v>124</v>
      </c>
      <c r="AB133" s="323" t="inlineStr">
        <is>
          <t>Kuria East District</t>
        </is>
      </c>
      <c r="AC133" s="323" t="n">
        <v>27</v>
      </c>
      <c r="AE133" s="324" t="n">
        <v>438</v>
      </c>
      <c r="AF133" s="324" t="inlineStr">
        <is>
          <t>Othaya</t>
        </is>
      </c>
      <c r="AG133" s="324" t="n">
        <v>31</v>
      </c>
      <c r="AU133" t="n">
        <v>281</v>
      </c>
      <c r="AV133" t="inlineStr">
        <is>
          <t>ATHI RIVER</t>
        </is>
      </c>
      <c r="AW133" t="n">
        <v>11</v>
      </c>
      <c r="AX133" s="4" t="n"/>
      <c r="AZ133" s="305" t="n"/>
      <c r="BA133" s="305" t="inlineStr">
        <is>
          <t>OMAN</t>
        </is>
      </c>
      <c r="BB133" s="306" t="n">
        <v>132</v>
      </c>
    </row>
    <row r="134">
      <c r="A134" s="305" t="inlineStr">
        <is>
          <t>CYPRUS</t>
        </is>
      </c>
      <c r="B134" s="306" t="n">
        <v>45</v>
      </c>
      <c r="M134" s="3" t="n">
        <v>80501</v>
      </c>
      <c r="N134" t="inlineStr">
        <is>
          <t>FAZA</t>
        </is>
      </c>
      <c r="R134" s="3" t="inlineStr">
        <is>
          <t>01032</t>
        </is>
      </c>
      <c r="Z134">
        <f>CONCATENATE("Local",AA134)</f>
        <v/>
      </c>
      <c r="AA134" s="323" t="n">
        <v>125</v>
      </c>
      <c r="AB134" s="323" t="inlineStr">
        <is>
          <t>Kuria West District</t>
        </is>
      </c>
      <c r="AC134" s="323" t="n">
        <v>27</v>
      </c>
      <c r="AE134" s="324" t="n">
        <v>533</v>
      </c>
      <c r="AF134" s="324" t="inlineStr">
        <is>
          <t>Kilifi</t>
        </is>
      </c>
      <c r="AG134" s="324" t="n">
        <v>32</v>
      </c>
      <c r="AU134" t="n">
        <v>279</v>
      </c>
      <c r="AV134" t="inlineStr">
        <is>
          <t>ATHI RIVER BRANCH</t>
        </is>
      </c>
      <c r="AW134" t="n">
        <v>11</v>
      </c>
      <c r="AX134" s="4" t="n"/>
      <c r="AZ134" s="305" t="n"/>
      <c r="BA134" s="305" t="inlineStr">
        <is>
          <t>PAKISTAN</t>
        </is>
      </c>
      <c r="BB134" s="306" t="n">
        <v>133</v>
      </c>
    </row>
    <row r="135">
      <c r="A135" s="305" t="inlineStr">
        <is>
          <t>CZECH REPUBLIC</t>
        </is>
      </c>
      <c r="B135" s="306" t="n">
        <v>46</v>
      </c>
      <c r="M135" s="3" t="n">
        <v>20209</v>
      </c>
      <c r="N135" t="inlineStr">
        <is>
          <t>FORT TERNAN</t>
        </is>
      </c>
      <c r="R135" s="3" t="inlineStr">
        <is>
          <t>01033</t>
        </is>
      </c>
      <c r="Z135">
        <f>CONCATENATE("Local",AA135)</f>
        <v/>
      </c>
      <c r="AA135" s="323" t="n">
        <v>126</v>
      </c>
      <c r="AB135" s="323" t="inlineStr">
        <is>
          <t>Migori District</t>
        </is>
      </c>
      <c r="AC135" s="323" t="n">
        <v>27</v>
      </c>
      <c r="AE135" s="324" t="n">
        <v>534</v>
      </c>
      <c r="AF135" s="324" t="inlineStr">
        <is>
          <t>Malindi</t>
        </is>
      </c>
      <c r="AG135" s="324" t="n">
        <v>33</v>
      </c>
      <c r="AU135" t="n">
        <v>273</v>
      </c>
      <c r="AV135" t="inlineStr">
        <is>
          <t>BUNGOMA BRANCH</t>
        </is>
      </c>
      <c r="AW135" t="n">
        <v>11</v>
      </c>
      <c r="AX135" s="4" t="n"/>
      <c r="AZ135" s="305" t="n"/>
      <c r="BA135" s="305" t="inlineStr">
        <is>
          <t>PALAU</t>
        </is>
      </c>
      <c r="BB135" s="306" t="n">
        <v>134</v>
      </c>
    </row>
    <row r="136">
      <c r="A136" s="305" t="inlineStr">
        <is>
          <t>DENMARK</t>
        </is>
      </c>
      <c r="B136" s="306" t="n">
        <v>47</v>
      </c>
      <c r="M136" s="3" t="n">
        <v>50406</v>
      </c>
      <c r="N136" t="inlineStr">
        <is>
          <t>FUNYULA</t>
        </is>
      </c>
      <c r="R136" s="3" t="inlineStr">
        <is>
          <t>01034</t>
        </is>
      </c>
      <c r="Z136">
        <f>CONCATENATE("Local",AA136)</f>
        <v/>
      </c>
      <c r="AA136" s="323" t="n">
        <v>127</v>
      </c>
      <c r="AB136" s="323" t="inlineStr">
        <is>
          <t>Nyatike District</t>
        </is>
      </c>
      <c r="AC136" s="323" t="n">
        <v>27</v>
      </c>
      <c r="AE136" s="324" t="n">
        <v>535</v>
      </c>
      <c r="AF136" s="324" t="inlineStr">
        <is>
          <t>Kaloleni</t>
        </is>
      </c>
      <c r="AG136" s="324" t="n">
        <v>34</v>
      </c>
      <c r="AU136" t="n">
        <v>282</v>
      </c>
      <c r="AV136" t="inlineStr">
        <is>
          <t>CANNON BRANCH</t>
        </is>
      </c>
      <c r="AW136" t="n">
        <v>11</v>
      </c>
      <c r="AX136" s="4" t="n"/>
      <c r="AZ136" s="305" t="n"/>
      <c r="BA136" s="305" t="inlineStr">
        <is>
          <t>PANAMA</t>
        </is>
      </c>
      <c r="BB136" s="306" t="n">
        <v>135</v>
      </c>
    </row>
    <row r="137">
      <c r="A137" s="305" t="inlineStr">
        <is>
          <t>DJIBOUTI</t>
        </is>
      </c>
      <c r="B137" s="306" t="n">
        <v>48</v>
      </c>
      <c r="M137" s="3" t="n">
        <v>10210</v>
      </c>
      <c r="N137" t="inlineStr">
        <is>
          <t>GACHARAGE-INI</t>
        </is>
      </c>
      <c r="R137" s="3" t="inlineStr">
        <is>
          <t>01100</t>
        </is>
      </c>
      <c r="Z137">
        <f>CONCATENATE("Local",AA137)</f>
        <v/>
      </c>
      <c r="AA137" s="323" t="n">
        <v>128</v>
      </c>
      <c r="AB137" s="323" t="inlineStr">
        <is>
          <t>Rongo District</t>
        </is>
      </c>
      <c r="AC137" s="323" t="n">
        <v>27</v>
      </c>
      <c r="AE137" s="324" t="n">
        <v>536</v>
      </c>
      <c r="AF137" s="324" t="inlineStr">
        <is>
          <t>Kinango</t>
        </is>
      </c>
      <c r="AG137" s="324" t="n">
        <v>35</v>
      </c>
      <c r="AU137" t="n">
        <v>266</v>
      </c>
      <c r="AV137" t="inlineStr">
        <is>
          <t>CHUKA BRANCH</t>
        </is>
      </c>
      <c r="AW137" t="n">
        <v>11</v>
      </c>
      <c r="AX137" s="4" t="n"/>
      <c r="AZ137" s="305" t="n"/>
      <c r="BA137" s="305" t="inlineStr">
        <is>
          <t>PAPUA NEW GUINEA</t>
        </is>
      </c>
      <c r="BB137" s="306" t="n">
        <v>136</v>
      </c>
    </row>
    <row r="138">
      <c r="A138" s="305" t="inlineStr">
        <is>
          <t>DOMINICA</t>
        </is>
      </c>
      <c r="B138" s="306" t="n">
        <v>49</v>
      </c>
      <c r="M138" s="3" t="inlineStr">
        <is>
          <t>00238</t>
        </is>
      </c>
      <c r="N138" t="inlineStr">
        <is>
          <t>GACHIKA</t>
        </is>
      </c>
      <c r="R138" s="3" t="inlineStr">
        <is>
          <t>01101</t>
        </is>
      </c>
      <c r="Z138">
        <f>CONCATENATE("Local",AA138)</f>
        <v/>
      </c>
      <c r="AA138" s="323" t="n">
        <v>129</v>
      </c>
      <c r="AB138" s="323" t="inlineStr">
        <is>
          <t>Uriri District</t>
        </is>
      </c>
      <c r="AC138" s="323" t="n">
        <v>27</v>
      </c>
      <c r="AE138" s="324" t="n">
        <v>537</v>
      </c>
      <c r="AF138" s="324" t="inlineStr">
        <is>
          <t>Kwale</t>
        </is>
      </c>
      <c r="AG138" s="324" t="n">
        <v>36</v>
      </c>
      <c r="AU138" t="n">
        <v>284</v>
      </c>
      <c r="AV138" t="inlineStr">
        <is>
          <t>CITY HALL</t>
        </is>
      </c>
      <c r="AW138" t="n">
        <v>11</v>
      </c>
      <c r="AX138" s="4" t="n"/>
      <c r="AZ138" s="305" t="n"/>
      <c r="BA138" s="305" t="inlineStr">
        <is>
          <t>PARAGUAY</t>
        </is>
      </c>
      <c r="BB138" s="306" t="n">
        <v>137</v>
      </c>
    </row>
    <row r="139">
      <c r="A139" s="305" t="inlineStr">
        <is>
          <t>DOMINICAN REPUBLIC</t>
        </is>
      </c>
      <c r="B139" s="306" t="n">
        <v>50</v>
      </c>
      <c r="M139" s="3" t="n">
        <v>60119</v>
      </c>
      <c r="N139" t="inlineStr">
        <is>
          <t>GACHOKA</t>
        </is>
      </c>
      <c r="R139" s="3" t="inlineStr">
        <is>
          <t>01102</t>
        </is>
      </c>
      <c r="Z139">
        <f>CONCATENATE("Local",AA139)</f>
        <v/>
      </c>
      <c r="AA139" s="323" t="n">
        <v>40</v>
      </c>
      <c r="AB139" s="323" t="inlineStr">
        <is>
          <t>Kilindini District</t>
        </is>
      </c>
      <c r="AC139" s="323" t="n">
        <v>28</v>
      </c>
      <c r="AE139" s="324" t="n">
        <v>538</v>
      </c>
      <c r="AF139" s="324" t="inlineStr">
        <is>
          <t>Msabweni</t>
        </is>
      </c>
      <c r="AG139" s="324" t="n">
        <v>37</v>
      </c>
      <c r="AU139" t="n">
        <v>250</v>
      </c>
      <c r="AV139" t="inlineStr">
        <is>
          <t>CO-OPERATIVE HOUSE BRANCH</t>
        </is>
      </c>
      <c r="AW139" t="n">
        <v>11</v>
      </c>
      <c r="AX139" s="4" t="n"/>
      <c r="AZ139" s="305" t="n"/>
      <c r="BA139" s="305" t="inlineStr">
        <is>
          <t>PERU</t>
        </is>
      </c>
      <c r="BB139" s="306" t="n">
        <v>138</v>
      </c>
    </row>
    <row r="140">
      <c r="A140" s="305" t="inlineStr">
        <is>
          <t>EAST TIMOR</t>
        </is>
      </c>
      <c r="B140" s="306" t="n">
        <v>51</v>
      </c>
      <c r="M140" s="3" t="n">
        <v>60209</v>
      </c>
      <c r="N140" t="inlineStr">
        <is>
          <t>GAITU</t>
        </is>
      </c>
      <c r="R140" s="3" t="inlineStr">
        <is>
          <t>01103</t>
        </is>
      </c>
      <c r="Z140">
        <f>CONCATENATE("Local",AA140)</f>
        <v/>
      </c>
      <c r="AA140" s="323" t="n">
        <v>41</v>
      </c>
      <c r="AB140" s="323" t="inlineStr">
        <is>
          <t>Mombasa District</t>
        </is>
      </c>
      <c r="AC140" s="323" t="n">
        <v>28</v>
      </c>
      <c r="AE140" s="324" t="n">
        <v>539</v>
      </c>
      <c r="AF140" s="324" t="inlineStr">
        <is>
          <t>Matuga</t>
        </is>
      </c>
      <c r="AG140" s="324" t="n">
        <v>38</v>
      </c>
      <c r="AU140" t="n">
        <v>268</v>
      </c>
      <c r="AV140" t="inlineStr">
        <is>
          <t>EASTLEIGH</t>
        </is>
      </c>
      <c r="AW140" t="n">
        <v>11</v>
      </c>
      <c r="AX140" s="4" t="n"/>
      <c r="AZ140" s="305" t="n"/>
      <c r="BA140" s="305" t="inlineStr">
        <is>
          <t>PHILIPPINES</t>
        </is>
      </c>
      <c r="BB140" s="306" t="n">
        <v>139</v>
      </c>
    </row>
    <row r="141">
      <c r="A141" s="305" t="inlineStr">
        <is>
          <t>ECUADOR</t>
        </is>
      </c>
      <c r="B141" s="306" t="n">
        <v>52</v>
      </c>
      <c r="M141" s="3" t="n">
        <v>10109</v>
      </c>
      <c r="N141" t="inlineStr">
        <is>
          <t>GAKERE ROAD</t>
        </is>
      </c>
      <c r="R141" s="3" t="inlineStr">
        <is>
          <t>10100</t>
        </is>
      </c>
      <c r="Z141">
        <f>CONCATENATE("Local",AA141)</f>
        <v/>
      </c>
      <c r="AA141" s="323" t="n">
        <v>17</v>
      </c>
      <c r="AB141" s="323" t="inlineStr">
        <is>
          <t>Gatanga District</t>
        </is>
      </c>
      <c r="AC141" s="323" t="n">
        <v>29</v>
      </c>
      <c r="AE141" s="324" t="n">
        <v>540</v>
      </c>
      <c r="AF141" s="324" t="inlineStr">
        <is>
          <t>Lamu</t>
        </is>
      </c>
      <c r="AG141" s="324" t="n">
        <v>39</v>
      </c>
      <c r="AU141" t="n">
        <v>261</v>
      </c>
      <c r="AV141" t="inlineStr">
        <is>
          <t>ELDORET BRANCH</t>
        </is>
      </c>
      <c r="AW141" t="n">
        <v>11</v>
      </c>
      <c r="AX141" s="4" t="n"/>
      <c r="AZ141" s="305" t="n"/>
      <c r="BA141" s="305" t="inlineStr">
        <is>
          <t>POLAND</t>
        </is>
      </c>
      <c r="BB141" s="306" t="n">
        <v>140</v>
      </c>
    </row>
    <row r="142">
      <c r="A142" s="305" t="inlineStr">
        <is>
          <t>EGYPT</t>
        </is>
      </c>
      <c r="B142" s="306" t="n">
        <v>53</v>
      </c>
      <c r="M142" s="3" t="n">
        <v>10111</v>
      </c>
      <c r="N142" t="inlineStr">
        <is>
          <t>GAKINDU</t>
        </is>
      </c>
      <c r="R142" s="3" t="inlineStr">
        <is>
          <t>10101</t>
        </is>
      </c>
      <c r="Z142">
        <f>CONCATENATE("Local",AA142)</f>
        <v/>
      </c>
      <c r="AA142" s="323" t="n">
        <v>16</v>
      </c>
      <c r="AB142" s="323" t="inlineStr">
        <is>
          <t>Kigumo District</t>
        </is>
      </c>
      <c r="AC142" s="323" t="n">
        <v>29</v>
      </c>
      <c r="AE142" s="324" t="n">
        <v>541</v>
      </c>
      <c r="AF142" s="324" t="inlineStr">
        <is>
          <t>Kilindini</t>
        </is>
      </c>
      <c r="AG142" s="324" t="n">
        <v>40</v>
      </c>
      <c r="AU142" t="n">
        <v>271</v>
      </c>
      <c r="AV142" t="inlineStr">
        <is>
          <t>EMBU BRANCH</t>
        </is>
      </c>
      <c r="AW142" t="n">
        <v>11</v>
      </c>
      <c r="AX142" s="4" t="n"/>
      <c r="AZ142" s="305" t="n"/>
      <c r="BA142" s="305" t="inlineStr">
        <is>
          <t>PORTUGAL</t>
        </is>
      </c>
      <c r="BB142" s="306" t="n">
        <v>141</v>
      </c>
    </row>
    <row r="143">
      <c r="A143" s="305" t="inlineStr">
        <is>
          <t>EL SALVADOR</t>
        </is>
      </c>
      <c r="B143" s="306" t="n">
        <v>54</v>
      </c>
      <c r="M143" s="3" t="inlineStr">
        <is>
          <t>01005</t>
        </is>
      </c>
      <c r="N143" t="inlineStr">
        <is>
          <t>GAKOE</t>
        </is>
      </c>
      <c r="R143" s="3" t="inlineStr">
        <is>
          <t>10102</t>
        </is>
      </c>
      <c r="Z143">
        <f>CONCATENATE("Local",AA143)</f>
        <v/>
      </c>
      <c r="AA143" s="323" t="n">
        <v>18</v>
      </c>
      <c r="AB143" s="323" t="inlineStr">
        <is>
          <t>Muranga East District</t>
        </is>
      </c>
      <c r="AC143" s="323" t="n">
        <v>29</v>
      </c>
      <c r="AE143" s="324" t="n">
        <v>542</v>
      </c>
      <c r="AF143" s="324" t="inlineStr">
        <is>
          <t>Mombasa</t>
        </is>
      </c>
      <c r="AG143" s="324" t="n">
        <v>41</v>
      </c>
      <c r="AU143" t="n">
        <v>249</v>
      </c>
      <c r="AV143" t="inlineStr">
        <is>
          <t>HEAD OFFICE</t>
        </is>
      </c>
      <c r="AW143" t="n">
        <v>11</v>
      </c>
      <c r="AX143" s="4" t="n"/>
      <c r="AZ143" s="305" t="n"/>
      <c r="BA143" s="305" t="inlineStr">
        <is>
          <t>QATAR</t>
        </is>
      </c>
      <c r="BB143" s="306" t="n">
        <v>142</v>
      </c>
    </row>
    <row r="144">
      <c r="A144" s="305" t="inlineStr">
        <is>
          <t>EQUATORIAL GUINEA</t>
        </is>
      </c>
      <c r="B144" s="306" t="n">
        <v>55</v>
      </c>
      <c r="M144" s="3" t="n">
        <v>10211</v>
      </c>
      <c r="N144" t="inlineStr">
        <is>
          <t>GAKURWE</t>
        </is>
      </c>
      <c r="R144" s="3" t="inlineStr">
        <is>
          <t>10103</t>
        </is>
      </c>
      <c r="Z144">
        <f>CONCATENATE("Local",AA144)</f>
        <v/>
      </c>
      <c r="AA144" s="323" t="n">
        <v>19</v>
      </c>
      <c r="AB144" s="323" t="inlineStr">
        <is>
          <t>Muranga South District</t>
        </is>
      </c>
      <c r="AC144" s="323" t="n">
        <v>29</v>
      </c>
      <c r="AE144" s="324" t="n">
        <v>543</v>
      </c>
      <c r="AF144" s="324" t="inlineStr">
        <is>
          <t>Taita</t>
        </is>
      </c>
      <c r="AG144" s="324" t="n">
        <v>42</v>
      </c>
      <c r="AU144" t="n">
        <v>270</v>
      </c>
      <c r="AV144" t="inlineStr">
        <is>
          <t>HOMA BAY BRANCH</t>
        </is>
      </c>
      <c r="AW144" t="n">
        <v>11</v>
      </c>
      <c r="AX144" s="4" t="n"/>
      <c r="AZ144" s="305" t="n"/>
      <c r="BA144" s="305" t="inlineStr">
        <is>
          <t>ROMANIA</t>
        </is>
      </c>
      <c r="BB144" s="306" t="n">
        <v>143</v>
      </c>
    </row>
    <row r="145">
      <c r="A145" s="305" t="inlineStr">
        <is>
          <t>ERITREA</t>
        </is>
      </c>
      <c r="B145" s="306" t="n">
        <v>56</v>
      </c>
      <c r="M145" s="3" t="n">
        <v>50318</v>
      </c>
      <c r="N145" t="inlineStr">
        <is>
          <t>GAMBOGI</t>
        </is>
      </c>
      <c r="R145" s="3" t="inlineStr">
        <is>
          <t>10104</t>
        </is>
      </c>
      <c r="Z145">
        <f>CONCATENATE("Local",AA145)</f>
        <v/>
      </c>
      <c r="AA145" s="323" t="n">
        <v>90</v>
      </c>
      <c r="AB145" s="323" t="inlineStr">
        <is>
          <t>Nairobi East District</t>
        </is>
      </c>
      <c r="AC145" s="323" t="n">
        <v>30</v>
      </c>
      <c r="AE145" s="324" t="n">
        <v>491</v>
      </c>
      <c r="AF145" s="324" t="inlineStr">
        <is>
          <t>Taveta</t>
        </is>
      </c>
      <c r="AG145" s="324" t="n">
        <v>43</v>
      </c>
      <c r="AU145" t="n">
        <v>255</v>
      </c>
      <c r="AV145" t="inlineStr">
        <is>
          <t>INDUSTRIAL AREA BRANCH</t>
        </is>
      </c>
      <c r="AW145" t="n">
        <v>11</v>
      </c>
      <c r="AX145" s="4" t="n"/>
      <c r="AZ145" s="305" t="n"/>
      <c r="BA145" s="305" t="inlineStr">
        <is>
          <t>RUSSIA</t>
        </is>
      </c>
      <c r="BB145" s="306" t="n">
        <v>144</v>
      </c>
    </row>
    <row r="146">
      <c r="A146" s="305" t="inlineStr">
        <is>
          <t>ESTONIA</t>
        </is>
      </c>
      <c r="B146" s="306" t="n">
        <v>57</v>
      </c>
      <c r="M146" s="3" t="n">
        <v>80205</v>
      </c>
      <c r="N146" t="inlineStr">
        <is>
          <t>GANZE</t>
        </is>
      </c>
      <c r="R146" s="3" t="inlineStr">
        <is>
          <t>10105</t>
        </is>
      </c>
      <c r="Z146">
        <f>CONCATENATE("Local",AA146)</f>
        <v/>
      </c>
      <c r="AA146" s="323" t="n">
        <v>91</v>
      </c>
      <c r="AB146" s="323" t="inlineStr">
        <is>
          <t>Nairobi North District</t>
        </is>
      </c>
      <c r="AC146" s="323" t="n">
        <v>30</v>
      </c>
      <c r="AE146" s="324" t="n">
        <v>350</v>
      </c>
      <c r="AF146" s="324" t="inlineStr">
        <is>
          <t>Mgange</t>
        </is>
      </c>
      <c r="AG146" s="324" t="n">
        <v>44</v>
      </c>
      <c r="AU146" t="n">
        <v>286</v>
      </c>
      <c r="AV146" t="inlineStr">
        <is>
          <t>KAKAMEGA</t>
        </is>
      </c>
      <c r="AW146" t="n">
        <v>11</v>
      </c>
      <c r="AX146" s="4" t="n"/>
      <c r="AZ146" s="305" t="n"/>
      <c r="BA146" s="305" t="inlineStr">
        <is>
          <t>RWANDA</t>
        </is>
      </c>
      <c r="BB146" s="306" t="n">
        <v>145</v>
      </c>
    </row>
    <row r="147">
      <c r="A147" s="305" t="inlineStr">
        <is>
          <t>ETHIOPIA</t>
        </is>
      </c>
      <c r="B147" s="306" t="n">
        <v>58</v>
      </c>
      <c r="M147" s="3" t="n">
        <v>60301</v>
      </c>
      <c r="N147" t="inlineStr">
        <is>
          <t>GARBA TULLA</t>
        </is>
      </c>
      <c r="R147" s="3" t="inlineStr">
        <is>
          <t>10106</t>
        </is>
      </c>
      <c r="Z147">
        <f>CONCATENATE("Local",AA147)</f>
        <v/>
      </c>
      <c r="AA147" s="323" t="n">
        <v>92</v>
      </c>
      <c r="AB147" s="323" t="inlineStr">
        <is>
          <t>Nairobi West District</t>
        </is>
      </c>
      <c r="AC147" s="323" t="n">
        <v>30</v>
      </c>
      <c r="AE147" s="324" t="n">
        <v>518</v>
      </c>
      <c r="AF147" s="324" t="inlineStr">
        <is>
          <t>Werugha</t>
        </is>
      </c>
      <c r="AG147" s="324" t="n">
        <v>44</v>
      </c>
      <c r="AU147" t="n">
        <v>275</v>
      </c>
      <c r="AV147" t="inlineStr">
        <is>
          <t>KARATINA BRANCH</t>
        </is>
      </c>
      <c r="AW147" t="n">
        <v>11</v>
      </c>
      <c r="AX147" s="4" t="n"/>
      <c r="AZ147" s="305" t="n"/>
      <c r="BA147" s="305" t="inlineStr">
        <is>
          <t>SAINT KITTS AND NEVIS</t>
        </is>
      </c>
      <c r="BB147" s="306" t="n">
        <v>146</v>
      </c>
    </row>
    <row r="148">
      <c r="A148" s="305" t="inlineStr">
        <is>
          <t>FIJI</t>
        </is>
      </c>
      <c r="B148" s="306" t="n">
        <v>59</v>
      </c>
      <c r="M148" s="3" t="n">
        <v>70100</v>
      </c>
      <c r="N148" t="inlineStr">
        <is>
          <t>GARISSA</t>
        </is>
      </c>
      <c r="R148" s="3" t="inlineStr">
        <is>
          <t>10107</t>
        </is>
      </c>
      <c r="Z148">
        <f>CONCATENATE("Local",AA148)</f>
        <v/>
      </c>
      <c r="AA148" s="323" t="n">
        <v>93</v>
      </c>
      <c r="AB148" s="323" t="inlineStr">
        <is>
          <t>Westlands District</t>
        </is>
      </c>
      <c r="AC148" s="323" t="n">
        <v>30</v>
      </c>
      <c r="AE148" s="324" t="n">
        <v>521</v>
      </c>
      <c r="AF148" s="324" t="inlineStr">
        <is>
          <t>Wundanyi Town</t>
        </is>
      </c>
      <c r="AG148" s="324" t="n">
        <v>44</v>
      </c>
      <c r="AU148" t="n">
        <v>560</v>
      </c>
      <c r="AV148" t="inlineStr">
        <is>
          <t>KAYOLE</t>
        </is>
      </c>
      <c r="AW148" t="n">
        <v>11</v>
      </c>
      <c r="AX148" s="4" t="n"/>
      <c r="AZ148" s="305" t="n"/>
      <c r="BA148" s="305" t="inlineStr">
        <is>
          <t>SAINT LUCIA</t>
        </is>
      </c>
      <c r="BB148" s="306" t="n">
        <v>147</v>
      </c>
    </row>
    <row r="149">
      <c r="A149" s="305" t="inlineStr">
        <is>
          <t>FINLAND</t>
        </is>
      </c>
      <c r="B149" s="306" t="n">
        <v>60</v>
      </c>
      <c r="M149" s="3" t="n">
        <v>80201</v>
      </c>
      <c r="N149" t="inlineStr">
        <is>
          <t>GARSEN</t>
        </is>
      </c>
      <c r="R149" s="3" t="inlineStr">
        <is>
          <t>10108</t>
        </is>
      </c>
      <c r="Z149">
        <f>CONCATENATE("Local",AA149)</f>
        <v/>
      </c>
      <c r="AA149" s="323" t="n">
        <v>161</v>
      </c>
      <c r="AB149" s="323" t="inlineStr">
        <is>
          <t>Molo District</t>
        </is>
      </c>
      <c r="AC149" s="323" t="n">
        <v>31</v>
      </c>
      <c r="AE149" s="324" t="n">
        <v>156</v>
      </c>
      <c r="AF149" s="324" t="inlineStr">
        <is>
          <t>Kambu</t>
        </is>
      </c>
      <c r="AG149" s="324" t="n">
        <v>45</v>
      </c>
      <c r="AU149" t="n">
        <v>272</v>
      </c>
      <c r="AV149" t="inlineStr">
        <is>
          <t>KERICHO BRANCH</t>
        </is>
      </c>
      <c r="AW149" t="n">
        <v>11</v>
      </c>
      <c r="AX149" s="4" t="n"/>
      <c r="AZ149" s="305" t="n"/>
      <c r="BA149" s="305" t="inlineStr">
        <is>
          <t>SAINT VINCENT AND THE GRENADINES</t>
        </is>
      </c>
      <c r="BB149" s="306" t="n">
        <v>148</v>
      </c>
    </row>
    <row r="150">
      <c r="A150" s="305" t="inlineStr">
        <is>
          <t>FRANCE</t>
        </is>
      </c>
      <c r="B150" s="306" t="n">
        <v>61</v>
      </c>
      <c r="M150" s="3" t="n">
        <v>10212</v>
      </c>
      <c r="N150" t="inlineStr">
        <is>
          <t>GATARA</t>
        </is>
      </c>
      <c r="R150" s="3" t="inlineStr">
        <is>
          <t>10109</t>
        </is>
      </c>
      <c r="Z150">
        <f>CONCATENATE("Local",AA150)</f>
        <v/>
      </c>
      <c r="AA150" s="323" t="n">
        <v>162</v>
      </c>
      <c r="AB150" s="323" t="inlineStr">
        <is>
          <t>Naivasha District</t>
        </is>
      </c>
      <c r="AC150" s="323" t="n">
        <v>31</v>
      </c>
      <c r="AE150" s="324" t="n">
        <v>185</v>
      </c>
      <c r="AF150" s="324" t="inlineStr">
        <is>
          <t>Kasigau</t>
        </is>
      </c>
      <c r="AG150" s="324" t="n">
        <v>45</v>
      </c>
      <c r="AU150" t="n">
        <v>260</v>
      </c>
      <c r="AV150" t="inlineStr">
        <is>
          <t>KERUGOYA BRANCH</t>
        </is>
      </c>
      <c r="AW150" t="n">
        <v>11</v>
      </c>
      <c r="AX150" s="4" t="n"/>
      <c r="AZ150" s="305" t="n"/>
      <c r="BA150" s="305" t="inlineStr">
        <is>
          <t>SAMOA</t>
        </is>
      </c>
      <c r="BB150" s="306" t="n">
        <v>149</v>
      </c>
    </row>
    <row r="151">
      <c r="A151" s="305" t="inlineStr">
        <is>
          <t>GABON</t>
        </is>
      </c>
      <c r="B151" s="306" t="n">
        <v>62</v>
      </c>
      <c r="M151" s="3" t="n">
        <v>10112</v>
      </c>
      <c r="N151" t="inlineStr">
        <is>
          <t>GATARAKWA</t>
        </is>
      </c>
      <c r="R151" s="3" t="inlineStr">
        <is>
          <t>10110</t>
        </is>
      </c>
      <c r="Z151">
        <f>CONCATENATE("Local",AA151)</f>
        <v/>
      </c>
      <c r="AA151" s="323" t="n">
        <v>163</v>
      </c>
      <c r="AB151" s="323" t="inlineStr">
        <is>
          <t>Nakuru District</t>
        </is>
      </c>
      <c r="AC151" s="323" t="n">
        <v>31</v>
      </c>
      <c r="AE151" s="324" t="n">
        <v>299</v>
      </c>
      <c r="AF151" s="324" t="inlineStr">
        <is>
          <t>Makinon Road</t>
        </is>
      </c>
      <c r="AG151" s="324" t="n">
        <v>45</v>
      </c>
      <c r="AU151" t="n">
        <v>269</v>
      </c>
      <c r="AV151" t="inlineStr">
        <is>
          <t>KIAMBU BRANCH</t>
        </is>
      </c>
      <c r="AW151" t="n">
        <v>11</v>
      </c>
      <c r="AX151" s="4" t="n"/>
      <c r="AZ151" s="305" t="n"/>
      <c r="BA151" s="305" t="inlineStr">
        <is>
          <t>SAN MARINO</t>
        </is>
      </c>
      <c r="BB151" s="306" t="n">
        <v>150</v>
      </c>
    </row>
    <row r="152">
      <c r="A152" s="305" t="inlineStr">
        <is>
          <t>THE GAMBIA</t>
        </is>
      </c>
      <c r="B152" s="306" t="n">
        <v>63</v>
      </c>
      <c r="M152" s="3" t="inlineStr">
        <is>
          <t>00239</t>
        </is>
      </c>
      <c r="N152" t="inlineStr">
        <is>
          <t>GATHIRUINI</t>
        </is>
      </c>
      <c r="R152" s="3" t="inlineStr">
        <is>
          <t>10111</t>
        </is>
      </c>
      <c r="Z152">
        <f>CONCATENATE("Local",AA152)</f>
        <v/>
      </c>
      <c r="AA152" s="323" t="n">
        <v>164</v>
      </c>
      <c r="AB152" s="323" t="inlineStr">
        <is>
          <t>Nakuru North District</t>
        </is>
      </c>
      <c r="AC152" s="323" t="n">
        <v>31</v>
      </c>
      <c r="AE152" s="324" t="n">
        <v>319</v>
      </c>
      <c r="AF152" s="324" t="inlineStr">
        <is>
          <t>Manyani</t>
        </is>
      </c>
      <c r="AG152" s="324" t="n">
        <v>45</v>
      </c>
      <c r="AU152" t="n">
        <v>283</v>
      </c>
      <c r="AV152" t="inlineStr">
        <is>
          <t>KIMATHI</t>
        </is>
      </c>
      <c r="AW152" t="n">
        <v>11</v>
      </c>
      <c r="AX152" s="4" t="n"/>
      <c r="AZ152" s="305" t="n"/>
      <c r="BA152" s="305" t="inlineStr">
        <is>
          <t>SAO TOME AND PRINCIPE</t>
        </is>
      </c>
      <c r="BB152" s="306" t="n">
        <v>151</v>
      </c>
    </row>
    <row r="153">
      <c r="A153" s="305" t="inlineStr">
        <is>
          <t>GEORGIA</t>
        </is>
      </c>
      <c r="B153" s="306" t="n">
        <v>64</v>
      </c>
      <c r="M153" s="3" t="inlineStr">
        <is>
          <t>00240</t>
        </is>
      </c>
      <c r="N153" t="inlineStr">
        <is>
          <t>GATHUGU</t>
        </is>
      </c>
      <c r="R153" s="3" t="inlineStr">
        <is>
          <t>10112</t>
        </is>
      </c>
      <c r="Z153">
        <f>CONCATENATE("Local",AA153)</f>
        <v/>
      </c>
      <c r="AA153" s="323" t="n">
        <v>165</v>
      </c>
      <c r="AB153" s="323" t="inlineStr">
        <is>
          <t>Njoro District</t>
        </is>
      </c>
      <c r="AC153" s="323" t="n">
        <v>31</v>
      </c>
      <c r="AE153" s="324" t="n">
        <v>342</v>
      </c>
      <c r="AF153" s="324" t="inlineStr">
        <is>
          <t>Maungu</t>
        </is>
      </c>
      <c r="AG153" s="324" t="n">
        <v>45</v>
      </c>
      <c r="AU153" t="n">
        <v>256</v>
      </c>
      <c r="AV153" t="inlineStr">
        <is>
          <t>KISII BRANCH</t>
        </is>
      </c>
      <c r="AW153" t="n">
        <v>11</v>
      </c>
      <c r="AX153" s="4" t="n"/>
      <c r="AZ153" s="305" t="n"/>
      <c r="BA153" s="305" t="inlineStr">
        <is>
          <t>SAUDI ARABIA</t>
        </is>
      </c>
      <c r="BB153" s="306" t="n">
        <v>152</v>
      </c>
    </row>
    <row r="154">
      <c r="A154" s="305" t="inlineStr">
        <is>
          <t>GERMANY</t>
        </is>
      </c>
      <c r="B154" s="306" t="n">
        <v>65</v>
      </c>
      <c r="M154" s="3" t="n">
        <v>10113</v>
      </c>
      <c r="N154" t="inlineStr">
        <is>
          <t>GATHUTHI</t>
        </is>
      </c>
      <c r="R154" s="3" t="inlineStr">
        <is>
          <t>10113</t>
        </is>
      </c>
      <c r="Z154">
        <f>CONCATENATE("Local",AA154)</f>
        <v/>
      </c>
      <c r="AA154" s="323" t="n">
        <v>166</v>
      </c>
      <c r="AB154" s="323" t="inlineStr">
        <is>
          <t>Nandi Central District</t>
        </is>
      </c>
      <c r="AC154" s="323" t="n">
        <v>32</v>
      </c>
      <c r="AE154" s="324" t="n">
        <v>358</v>
      </c>
      <c r="AF154" s="324" t="inlineStr">
        <is>
          <t>Mtito</t>
        </is>
      </c>
      <c r="AG154" s="324" t="n">
        <v>45</v>
      </c>
      <c r="AU154" t="n">
        <v>251</v>
      </c>
      <c r="AV154" t="inlineStr">
        <is>
          <t>KISUMU BRANCH</t>
        </is>
      </c>
      <c r="AW154" t="n">
        <v>11</v>
      </c>
      <c r="AX154" s="4" t="n"/>
      <c r="AZ154" s="305" t="n"/>
      <c r="BA154" s="305" t="inlineStr">
        <is>
          <t>SENEGAL</t>
        </is>
      </c>
      <c r="BB154" s="306" t="n">
        <v>153</v>
      </c>
    </row>
    <row r="155">
      <c r="A155" s="305" t="inlineStr">
        <is>
          <t>GHANA</t>
        </is>
      </c>
      <c r="B155" s="306" t="n">
        <v>66</v>
      </c>
      <c r="M155" s="3" t="n">
        <v>10114</v>
      </c>
      <c r="N155" t="inlineStr">
        <is>
          <t>GATITU</t>
        </is>
      </c>
      <c r="R155" s="3" t="inlineStr">
        <is>
          <t>10114</t>
        </is>
      </c>
      <c r="Z155">
        <f>CONCATENATE("Local",AA155)</f>
        <v/>
      </c>
      <c r="AA155" s="323" t="n">
        <v>167</v>
      </c>
      <c r="AB155" s="323" t="inlineStr">
        <is>
          <t>Nandi East District</t>
        </is>
      </c>
      <c r="AC155" s="323" t="n">
        <v>32</v>
      </c>
      <c r="AE155" s="324" t="n">
        <v>544</v>
      </c>
      <c r="AF155" s="324" t="inlineStr">
        <is>
          <t>Tana Delta</t>
        </is>
      </c>
      <c r="AG155" s="324" t="n">
        <v>46</v>
      </c>
      <c r="AU155" t="n">
        <v>257</v>
      </c>
      <c r="AV155" t="inlineStr">
        <is>
          <t>MACHAKOS BRANCH</t>
        </is>
      </c>
      <c r="AW155" t="n">
        <v>11</v>
      </c>
      <c r="AX155" s="4" t="n"/>
      <c r="AZ155" s="305" t="n"/>
      <c r="BA155" s="305" t="inlineStr">
        <is>
          <t>SERBIA</t>
        </is>
      </c>
      <c r="BB155" s="306" t="n">
        <v>154</v>
      </c>
    </row>
    <row r="156">
      <c r="A156" s="305" t="inlineStr">
        <is>
          <t>GREECE</t>
        </is>
      </c>
      <c r="B156" s="306" t="n">
        <v>67</v>
      </c>
      <c r="M156" s="3" t="n">
        <v>10115</v>
      </c>
      <c r="N156" t="inlineStr">
        <is>
          <t>GATONDO</t>
        </is>
      </c>
      <c r="R156" s="3" t="inlineStr">
        <is>
          <t>10115</t>
        </is>
      </c>
      <c r="Z156">
        <f>CONCATENATE("Local",AA156)</f>
        <v/>
      </c>
      <c r="AA156" s="323" t="n">
        <v>168</v>
      </c>
      <c r="AB156" s="323" t="inlineStr">
        <is>
          <t>Nandi North District</t>
        </is>
      </c>
      <c r="AC156" s="323" t="n">
        <v>32</v>
      </c>
      <c r="AE156" s="324" t="n">
        <v>59</v>
      </c>
      <c r="AF156" s="324" t="inlineStr">
        <is>
          <t>Dambas</t>
        </is>
      </c>
      <c r="AG156" s="324" t="n">
        <v>47</v>
      </c>
      <c r="AU156" t="n">
        <v>253</v>
      </c>
      <c r="AV156" t="inlineStr">
        <is>
          <t>MERU BRANCH</t>
        </is>
      </c>
      <c r="AW156" t="n">
        <v>11</v>
      </c>
      <c r="AX156" s="4" t="n"/>
      <c r="AZ156" s="305" t="n"/>
      <c r="BA156" s="305" t="inlineStr">
        <is>
          <t>SEYCHELLES</t>
        </is>
      </c>
      <c r="BB156" s="306" t="n">
        <v>155</v>
      </c>
    </row>
    <row r="157">
      <c r="A157" s="305" t="inlineStr">
        <is>
          <t>GRENADA</t>
        </is>
      </c>
      <c r="B157" s="306" t="n">
        <v>68</v>
      </c>
      <c r="M157" s="3" t="n">
        <v>10305</v>
      </c>
      <c r="N157" t="inlineStr">
        <is>
          <t>GATUGURA</t>
        </is>
      </c>
      <c r="R157" s="3" t="inlineStr">
        <is>
          <t>10116</t>
        </is>
      </c>
      <c r="Z157">
        <f>CONCATENATE("Local",AA157)</f>
        <v/>
      </c>
      <c r="AA157" s="323" t="n">
        <v>169</v>
      </c>
      <c r="AB157" s="323" t="inlineStr">
        <is>
          <t>Nandi South District</t>
        </is>
      </c>
      <c r="AC157" s="323" t="n">
        <v>32</v>
      </c>
      <c r="AE157" s="324" t="n">
        <v>490</v>
      </c>
      <c r="AF157" s="324" t="inlineStr">
        <is>
          <t>Tarbaj</t>
        </is>
      </c>
      <c r="AG157" s="324" t="n">
        <v>47</v>
      </c>
      <c r="AU157" t="n">
        <v>287</v>
      </c>
      <c r="AV157" t="inlineStr">
        <is>
          <t>MIGORI</t>
        </is>
      </c>
      <c r="AW157" t="n">
        <v>11</v>
      </c>
      <c r="AX157" s="4" t="n"/>
      <c r="AZ157" s="305" t="n"/>
      <c r="BA157" s="305" t="inlineStr">
        <is>
          <t>SIERRA LEONE</t>
        </is>
      </c>
      <c r="BB157" s="306" t="n">
        <v>156</v>
      </c>
    </row>
    <row r="158">
      <c r="A158" s="305" t="inlineStr">
        <is>
          <t>GUATEMALA</t>
        </is>
      </c>
      <c r="B158" s="306" t="n">
        <v>69</v>
      </c>
      <c r="M158" s="3" t="inlineStr">
        <is>
          <t>01028</t>
        </is>
      </c>
      <c r="N158" t="inlineStr">
        <is>
          <t>GATUKUYU</t>
        </is>
      </c>
      <c r="R158" s="3" t="inlineStr">
        <is>
          <t>10117</t>
        </is>
      </c>
      <c r="Z158">
        <f>CONCATENATE("Local",AA158)</f>
        <v/>
      </c>
      <c r="AA158" s="323" t="n">
        <v>170</v>
      </c>
      <c r="AB158" s="323" t="inlineStr">
        <is>
          <t>Tinderet District</t>
        </is>
      </c>
      <c r="AC158" s="323" t="n">
        <v>32</v>
      </c>
      <c r="AE158" s="324" t="n">
        <v>81</v>
      </c>
      <c r="AF158" s="324" t="inlineStr">
        <is>
          <t>Ena</t>
        </is>
      </c>
      <c r="AG158" s="324" t="n">
        <v>48</v>
      </c>
      <c r="AU158" t="n">
        <v>262</v>
      </c>
      <c r="AV158" t="inlineStr">
        <is>
          <t>MOI AVENUE</t>
        </is>
      </c>
      <c r="AW158" t="n">
        <v>11</v>
      </c>
      <c r="AX158" s="4" t="n"/>
      <c r="AZ158" s="305" t="n"/>
      <c r="BA158" s="305" t="inlineStr">
        <is>
          <t>SINGAPORE</t>
        </is>
      </c>
      <c r="BB158" s="306" t="n">
        <v>157</v>
      </c>
    </row>
    <row r="159">
      <c r="A159" s="305" t="inlineStr">
        <is>
          <t>GUATEMALA</t>
        </is>
      </c>
      <c r="B159" s="306" t="n">
        <v>70</v>
      </c>
      <c r="M159" s="3" t="inlineStr">
        <is>
          <t>01030</t>
        </is>
      </c>
      <c r="N159" t="inlineStr">
        <is>
          <t>GATUNDU</t>
        </is>
      </c>
      <c r="R159" s="3" t="inlineStr">
        <is>
          <t>10118</t>
        </is>
      </c>
      <c r="Z159">
        <f>CONCATENATE("Local",AA159)</f>
        <v/>
      </c>
      <c r="AA159" s="323" t="n">
        <v>172</v>
      </c>
      <c r="AB159" s="323" t="inlineStr">
        <is>
          <t>Narok North District</t>
        </is>
      </c>
      <c r="AC159" s="323" t="n">
        <v>33</v>
      </c>
      <c r="AE159" s="324" t="n">
        <v>165</v>
      </c>
      <c r="AF159" s="324" t="inlineStr">
        <is>
          <t>Kanja</t>
        </is>
      </c>
      <c r="AG159" s="324" t="n">
        <v>48</v>
      </c>
      <c r="AU159" t="n">
        <v>277</v>
      </c>
      <c r="AV159" t="inlineStr">
        <is>
          <t>MTWAPA</t>
        </is>
      </c>
      <c r="AW159" t="n">
        <v>11</v>
      </c>
      <c r="AX159" s="4" t="n"/>
      <c r="AZ159" s="305" t="n"/>
      <c r="BA159" s="305" t="inlineStr">
        <is>
          <t>SLOVAKIA</t>
        </is>
      </c>
      <c r="BB159" s="306" t="n">
        <v>158</v>
      </c>
    </row>
    <row r="160">
      <c r="A160" s="305" t="inlineStr">
        <is>
          <t>GUINEA</t>
        </is>
      </c>
      <c r="B160" s="306" t="n">
        <v>71</v>
      </c>
      <c r="M160" s="3" t="n">
        <v>60404</v>
      </c>
      <c r="N160" t="inlineStr">
        <is>
          <t>GATUNGA</t>
        </is>
      </c>
      <c r="R160" s="3" t="inlineStr">
        <is>
          <t>10119</t>
        </is>
      </c>
      <c r="Z160">
        <f>CONCATENATE("Local",AA160)</f>
        <v/>
      </c>
      <c r="AA160" s="323" t="n">
        <v>173</v>
      </c>
      <c r="AB160" s="323" t="inlineStr">
        <is>
          <t>Narok South District</t>
        </is>
      </c>
      <c r="AC160" s="323" t="n">
        <v>33</v>
      </c>
      <c r="AE160" s="324" t="n">
        <v>167</v>
      </c>
      <c r="AF160" s="324" t="inlineStr">
        <is>
          <t>Kanyuambora</t>
        </is>
      </c>
      <c r="AG160" s="324" t="n">
        <v>48</v>
      </c>
      <c r="AU160" t="n">
        <v>274</v>
      </c>
      <c r="AV160" t="inlineStr">
        <is>
          <t>MURANGA BRANCH</t>
        </is>
      </c>
      <c r="AW160" t="n">
        <v>11</v>
      </c>
      <c r="AX160" s="4" t="n"/>
      <c r="AZ160" s="305" t="n"/>
      <c r="BA160" s="305" t="inlineStr">
        <is>
          <t>SLOVENIA</t>
        </is>
      </c>
      <c r="BB160" s="306" t="n">
        <v>159</v>
      </c>
    </row>
    <row r="161">
      <c r="A161" s="305" t="inlineStr">
        <is>
          <t>GUYANA</t>
        </is>
      </c>
      <c r="B161" s="306" t="n">
        <v>72</v>
      </c>
      <c r="M161" s="3" t="inlineStr">
        <is>
          <t>01013</t>
        </is>
      </c>
      <c r="N161" t="inlineStr">
        <is>
          <t>GATURA</t>
        </is>
      </c>
      <c r="R161" s="3" t="inlineStr">
        <is>
          <t>10120</t>
        </is>
      </c>
      <c r="Z161">
        <f>CONCATENATE("Local",AA161)</f>
        <v/>
      </c>
      <c r="AA161" s="323" t="n">
        <v>171</v>
      </c>
      <c r="AB161" s="323" t="inlineStr">
        <is>
          <t>Trans Mara District</t>
        </is>
      </c>
      <c r="AC161" s="323" t="n">
        <v>33</v>
      </c>
      <c r="AE161" s="324" t="n">
        <v>183</v>
      </c>
      <c r="AF161" s="324" t="inlineStr">
        <is>
          <t>Karurumo</t>
        </is>
      </c>
      <c r="AG161" s="324" t="n">
        <v>48</v>
      </c>
      <c r="AU161" t="n">
        <v>263</v>
      </c>
      <c r="AV161" t="inlineStr">
        <is>
          <t>NAIVASHA</t>
        </is>
      </c>
      <c r="AW161" t="n">
        <v>11</v>
      </c>
      <c r="AX161" s="4" t="n"/>
      <c r="AZ161" s="305" t="n"/>
      <c r="BA161" s="305" t="inlineStr">
        <is>
          <t>SOLOMON ISLANDS</t>
        </is>
      </c>
      <c r="BB161" s="306" t="n">
        <v>160</v>
      </c>
    </row>
    <row r="162">
      <c r="A162" s="305" t="inlineStr">
        <is>
          <t>HAITI</t>
        </is>
      </c>
      <c r="B162" s="306" t="n">
        <v>73</v>
      </c>
      <c r="M162" s="3" t="n">
        <v>80208</v>
      </c>
      <c r="N162" t="inlineStr">
        <is>
          <t>GEDE</t>
        </is>
      </c>
      <c r="R162" s="3" t="inlineStr">
        <is>
          <t>10121</t>
        </is>
      </c>
      <c r="Z162">
        <f>CONCATENATE("Local",AA162)</f>
        <v/>
      </c>
      <c r="AA162" s="323" t="n">
        <v>130</v>
      </c>
      <c r="AB162" s="323" t="inlineStr">
        <is>
          <t>Borabu District</t>
        </is>
      </c>
      <c r="AC162" s="323" t="n">
        <v>34</v>
      </c>
      <c r="AE162" s="324" t="n">
        <v>186</v>
      </c>
      <c r="AF162" s="324" t="inlineStr">
        <is>
          <t>Kathangariri</t>
        </is>
      </c>
      <c r="AG162" s="324" t="n">
        <v>48</v>
      </c>
      <c r="AU162" t="n">
        <v>254</v>
      </c>
      <c r="AV162" t="inlineStr">
        <is>
          <t>NAKURU BRANCH</t>
        </is>
      </c>
      <c r="AW162" t="n">
        <v>11</v>
      </c>
      <c r="AX162" s="4" t="n"/>
      <c r="AZ162" s="305" t="n"/>
      <c r="BA162" s="305" t="inlineStr">
        <is>
          <t>SOMALIA</t>
        </is>
      </c>
      <c r="BB162" s="306" t="n">
        <v>161</v>
      </c>
    </row>
    <row r="163">
      <c r="A163" s="305" t="inlineStr">
        <is>
          <t>HONDURAS</t>
        </is>
      </c>
      <c r="B163" s="306" t="n">
        <v>74</v>
      </c>
      <c r="M163" s="3" t="n">
        <v>40312</v>
      </c>
      <c r="N163" t="inlineStr">
        <is>
          <t>GEMBE</t>
        </is>
      </c>
      <c r="R163" s="3" t="inlineStr">
        <is>
          <t>10122</t>
        </is>
      </c>
      <c r="Z163">
        <f>CONCATENATE("Local",AA163)</f>
        <v/>
      </c>
      <c r="AA163" s="323" t="n">
        <v>135</v>
      </c>
      <c r="AB163" s="323" t="inlineStr">
        <is>
          <t>Kitutu District</t>
        </is>
      </c>
      <c r="AC163" s="323" t="n">
        <v>34</v>
      </c>
      <c r="AE163" s="324" t="n">
        <v>187</v>
      </c>
      <c r="AF163" s="324" t="inlineStr">
        <is>
          <t>Kathangeri</t>
        </is>
      </c>
      <c r="AG163" s="324" t="n">
        <v>48</v>
      </c>
      <c r="AU163" t="n">
        <v>285</v>
      </c>
      <c r="AV163" t="inlineStr">
        <is>
          <t>NGONG ROAD BUSINESS CENTER</t>
        </is>
      </c>
      <c r="AW163" t="n">
        <v>11</v>
      </c>
      <c r="AX163" s="4" t="n"/>
      <c r="AZ163" s="305" t="n"/>
      <c r="BA163" s="305" t="inlineStr">
        <is>
          <t>SOUTH AFRICA</t>
        </is>
      </c>
      <c r="BB163" s="306" t="n">
        <v>162</v>
      </c>
    </row>
    <row r="164">
      <c r="A164" s="305" t="inlineStr">
        <is>
          <t>HUNGARY</t>
        </is>
      </c>
      <c r="B164" s="306" t="n">
        <v>75</v>
      </c>
      <c r="M164" s="3" t="n">
        <v>40503</v>
      </c>
      <c r="N164" t="inlineStr">
        <is>
          <t>GESIMA</t>
        </is>
      </c>
      <c r="R164" s="3" t="inlineStr">
        <is>
          <t>10123</t>
        </is>
      </c>
      <c r="Z164">
        <f>CONCATENATE("Local",AA164)</f>
        <v/>
      </c>
      <c r="AA164" s="323" t="n">
        <v>131</v>
      </c>
      <c r="AB164" s="323" t="inlineStr">
        <is>
          <t>Manga District</t>
        </is>
      </c>
      <c r="AC164" s="323" t="n">
        <v>34</v>
      </c>
      <c r="AE164" s="324" t="n">
        <v>208</v>
      </c>
      <c r="AF164" s="324" t="inlineStr">
        <is>
          <t>Kianjokoma</t>
        </is>
      </c>
      <c r="AG164" s="324" t="n">
        <v>48</v>
      </c>
      <c r="AU164" t="n">
        <v>252</v>
      </c>
      <c r="AV164" t="inlineStr">
        <is>
          <t>NKRUMAH ROAD BRANCH</t>
        </is>
      </c>
      <c r="AW164" t="n">
        <v>11</v>
      </c>
      <c r="AX164" s="4" t="n"/>
      <c r="AZ164" s="305" t="n"/>
      <c r="BA164" s="305" t="inlineStr">
        <is>
          <t>SPAIN</t>
        </is>
      </c>
      <c r="BB164" s="306" t="n">
        <v>163</v>
      </c>
    </row>
    <row r="165">
      <c r="A165" s="305" t="inlineStr">
        <is>
          <t>ICELAND</t>
        </is>
      </c>
      <c r="B165" s="306" t="n">
        <v>76</v>
      </c>
      <c r="M165" s="3" t="n">
        <v>40201</v>
      </c>
      <c r="N165" t="inlineStr">
        <is>
          <t>GESUSU</t>
        </is>
      </c>
      <c r="R165" s="3" t="inlineStr">
        <is>
          <t>10124</t>
        </is>
      </c>
      <c r="Z165">
        <f>CONCATENATE("Local",AA165)</f>
        <v/>
      </c>
      <c r="AA165" s="323" t="n">
        <v>132</v>
      </c>
      <c r="AB165" s="323" t="inlineStr">
        <is>
          <t>Marani District</t>
        </is>
      </c>
      <c r="AC165" s="323" t="n">
        <v>34</v>
      </c>
      <c r="AE165" s="324" t="n">
        <v>214</v>
      </c>
      <c r="AF165" s="324" t="inlineStr">
        <is>
          <t>Kibugu</t>
        </is>
      </c>
      <c r="AG165" s="324" t="n">
        <v>48</v>
      </c>
      <c r="AU165" t="n">
        <v>265</v>
      </c>
      <c r="AV165" t="inlineStr">
        <is>
          <t>NYAHURURU BRANCH</t>
        </is>
      </c>
      <c r="AW165" t="n">
        <v>11</v>
      </c>
      <c r="AX165" s="4" t="n"/>
      <c r="AZ165" s="305" t="n"/>
      <c r="BA165" s="305" t="inlineStr">
        <is>
          <t>SRI LANKA</t>
        </is>
      </c>
      <c r="BB165" s="306" t="n">
        <v>164</v>
      </c>
    </row>
    <row r="166">
      <c r="A166" s="305" t="inlineStr">
        <is>
          <t>INDIA</t>
        </is>
      </c>
      <c r="B166" s="306" t="n">
        <v>77</v>
      </c>
      <c r="M166" s="3" t="n">
        <v>10116</v>
      </c>
      <c r="N166" t="inlineStr">
        <is>
          <t>GIAKAIBEI</t>
        </is>
      </c>
      <c r="R166" s="3" t="inlineStr">
        <is>
          <t>10125</t>
        </is>
      </c>
      <c r="Z166">
        <f>CONCATENATE("Local",AA166)</f>
        <v/>
      </c>
      <c r="AA166" s="323" t="n">
        <v>133</v>
      </c>
      <c r="AB166" s="323" t="inlineStr">
        <is>
          <t>Nyamira District</t>
        </is>
      </c>
      <c r="AC166" s="323" t="n">
        <v>34</v>
      </c>
      <c r="AE166" s="324" t="n">
        <v>259</v>
      </c>
      <c r="AF166" s="324" t="inlineStr">
        <is>
          <t>Kyeni</t>
        </is>
      </c>
      <c r="AG166" s="324" t="n">
        <v>48</v>
      </c>
      <c r="AU166" t="n">
        <v>258</v>
      </c>
      <c r="AV166" t="inlineStr">
        <is>
          <t>NYERI BRANCH</t>
        </is>
      </c>
      <c r="AW166" t="n">
        <v>11</v>
      </c>
      <c r="AX166" s="4" t="n"/>
      <c r="AZ166" s="305" t="n"/>
      <c r="BA166" s="305" t="inlineStr">
        <is>
          <t>SUDAN</t>
        </is>
      </c>
      <c r="BB166" s="306" t="n">
        <v>165</v>
      </c>
    </row>
    <row r="167">
      <c r="A167" s="305" t="inlineStr">
        <is>
          <t>INDONESIA</t>
        </is>
      </c>
      <c r="B167" s="306" t="n">
        <v>78</v>
      </c>
      <c r="M167" s="3" t="n">
        <v>10108</v>
      </c>
      <c r="N167" t="inlineStr">
        <is>
          <t>GIAKANJA</t>
        </is>
      </c>
      <c r="R167" s="3" t="inlineStr">
        <is>
          <t>10127</t>
        </is>
      </c>
      <c r="Z167">
        <f>CONCATENATE("Local",AA167)</f>
        <v/>
      </c>
      <c r="AA167" s="323" t="n">
        <v>134</v>
      </c>
      <c r="AB167" s="323" t="inlineStr">
        <is>
          <t>Nyamira North District</t>
        </is>
      </c>
      <c r="AC167" s="323" t="n">
        <v>34</v>
      </c>
      <c r="AE167" s="324" t="n">
        <v>320</v>
      </c>
      <c r="AF167" s="324" t="inlineStr">
        <is>
          <t>Manyatta</t>
        </is>
      </c>
      <c r="AG167" s="324" t="n">
        <v>48</v>
      </c>
      <c r="AU167" t="n">
        <v>264</v>
      </c>
      <c r="AV167" t="inlineStr">
        <is>
          <t>STAFF TRAINING CENTRE BRANCH</t>
        </is>
      </c>
      <c r="AW167" t="n">
        <v>11</v>
      </c>
      <c r="AX167" s="4" t="n"/>
      <c r="AZ167" s="305" t="n"/>
      <c r="BA167" s="305" t="inlineStr">
        <is>
          <t>SURINAME</t>
        </is>
      </c>
      <c r="BB167" s="306" t="n">
        <v>166</v>
      </c>
    </row>
    <row r="168">
      <c r="A168" s="305" t="inlineStr">
        <is>
          <t>IRAN</t>
        </is>
      </c>
      <c r="B168" s="306" t="n">
        <v>79</v>
      </c>
      <c r="M168" s="3" t="n">
        <v>10117</v>
      </c>
      <c r="N168" t="inlineStr">
        <is>
          <t>GICHICHI</t>
        </is>
      </c>
      <c r="R168" s="3" t="inlineStr">
        <is>
          <t>10128</t>
        </is>
      </c>
      <c r="Z168">
        <f>CONCATENATE("Local",AA168)</f>
        <v/>
      </c>
      <c r="AA168" s="323" t="n">
        <v>20</v>
      </c>
      <c r="AB168" s="323" t="inlineStr">
        <is>
          <t>Kipipiri District</t>
        </is>
      </c>
      <c r="AC168" s="323" t="n">
        <v>35</v>
      </c>
      <c r="AE168" s="324" t="n">
        <v>447</v>
      </c>
      <c r="AF168" s="324" t="inlineStr">
        <is>
          <t>Runyenjes</t>
        </is>
      </c>
      <c r="AG168" s="324" t="n">
        <v>48</v>
      </c>
      <c r="AU168" t="n">
        <v>280</v>
      </c>
      <c r="AV168" t="inlineStr">
        <is>
          <t>STIMA PLAZA</t>
        </is>
      </c>
      <c r="AW168" t="n">
        <v>11</v>
      </c>
      <c r="AX168" s="4" t="n"/>
      <c r="AZ168" s="305" t="n"/>
      <c r="BA168" s="305" t="inlineStr">
        <is>
          <t>SWAZILAND</t>
        </is>
      </c>
      <c r="BB168" s="306" t="n">
        <v>167</v>
      </c>
    </row>
    <row r="169">
      <c r="A169" s="305" t="inlineStr">
        <is>
          <t>IRAQ</t>
        </is>
      </c>
      <c r="B169" s="306" t="n">
        <v>80</v>
      </c>
      <c r="M169" s="3" t="inlineStr">
        <is>
          <t>00601</t>
        </is>
      </c>
      <c r="N169" t="inlineStr">
        <is>
          <t>GIGIRI</t>
        </is>
      </c>
      <c r="R169" s="3" t="inlineStr">
        <is>
          <t>10129</t>
        </is>
      </c>
      <c r="Z169">
        <f>CONCATENATE("Local",AA169)</f>
        <v/>
      </c>
      <c r="AA169" s="323" t="n">
        <v>21</v>
      </c>
      <c r="AB169" s="323" t="inlineStr">
        <is>
          <t>Mirangini District</t>
        </is>
      </c>
      <c r="AC169" s="323" t="n">
        <v>35</v>
      </c>
      <c r="AE169" s="324" t="n">
        <v>80</v>
      </c>
      <c r="AF169" s="324" t="inlineStr">
        <is>
          <t>Embu Town</t>
        </is>
      </c>
      <c r="AG169" s="324" t="n">
        <v>49</v>
      </c>
      <c r="AU169" t="n">
        <v>259</v>
      </c>
      <c r="AV169" t="inlineStr">
        <is>
          <t>UKULIMA HOUSE BRANCH</t>
        </is>
      </c>
      <c r="AW169" t="n">
        <v>11</v>
      </c>
      <c r="AX169" s="4" t="n"/>
      <c r="AZ169" s="305" t="n"/>
      <c r="BA169" s="305" t="inlineStr">
        <is>
          <t>SWEDEN</t>
        </is>
      </c>
      <c r="BB169" s="306" t="n">
        <v>168</v>
      </c>
    </row>
    <row r="170">
      <c r="A170" s="305" t="inlineStr">
        <is>
          <t>IRELAND</t>
        </is>
      </c>
      <c r="B170" s="306" t="n">
        <v>81</v>
      </c>
      <c r="M170" s="3" t="inlineStr">
        <is>
          <t>10213</t>
        </is>
      </c>
      <c r="N170" t="inlineStr">
        <is>
          <t>GIKOE</t>
        </is>
      </c>
      <c r="R170" s="3" t="inlineStr">
        <is>
          <t>10130</t>
        </is>
      </c>
      <c r="Z170">
        <f>CONCATENATE("Local",AA170)</f>
        <v/>
      </c>
      <c r="AA170" s="323" t="n">
        <v>22</v>
      </c>
      <c r="AB170" s="323" t="inlineStr">
        <is>
          <t>Nyandarua Central District</t>
        </is>
      </c>
      <c r="AC170" s="323" t="n">
        <v>35</v>
      </c>
      <c r="AE170" s="324" t="n">
        <v>92</v>
      </c>
      <c r="AF170" s="324" t="inlineStr">
        <is>
          <t>Gakwegori</t>
        </is>
      </c>
      <c r="AG170" s="324" t="n">
        <v>49</v>
      </c>
      <c r="AU170" t="n">
        <v>276</v>
      </c>
      <c r="AV170" t="inlineStr">
        <is>
          <t>UKUNDA</t>
        </is>
      </c>
      <c r="AW170" t="n">
        <v>11</v>
      </c>
      <c r="AX170" s="4" t="n"/>
      <c r="AZ170" s="305" t="n"/>
      <c r="BA170" s="305" t="inlineStr">
        <is>
          <t>SWITZERLAND</t>
        </is>
      </c>
      <c r="BB170" s="306" t="n">
        <v>169</v>
      </c>
    </row>
    <row r="171">
      <c r="A171" s="305" t="inlineStr">
        <is>
          <t>ISRAEL</t>
        </is>
      </c>
      <c r="B171" s="306" t="n">
        <v>82</v>
      </c>
      <c r="M171" s="3" t="n">
        <v>20116</v>
      </c>
      <c r="N171" t="inlineStr">
        <is>
          <t>GILGIL</t>
        </is>
      </c>
      <c r="R171" s="3" t="inlineStr">
        <is>
          <t>10131</t>
        </is>
      </c>
      <c r="Z171">
        <f>CONCATENATE("Local",AA171)</f>
        <v/>
      </c>
      <c r="AA171" s="323" t="n">
        <v>23</v>
      </c>
      <c r="AB171" s="323" t="inlineStr">
        <is>
          <t>Nyandarua North District</t>
        </is>
      </c>
      <c r="AC171" s="323" t="n">
        <v>35</v>
      </c>
      <c r="AE171" s="324" t="n">
        <v>164</v>
      </c>
      <c r="AF171" s="324" t="inlineStr">
        <is>
          <t>Kangaru</t>
        </is>
      </c>
      <c r="AG171" s="324" t="n">
        <v>49</v>
      </c>
      <c r="AU171" t="n">
        <v>278</v>
      </c>
      <c r="AV171" t="inlineStr">
        <is>
          <t>UNIVERSITY WAY BRANCH</t>
        </is>
      </c>
      <c r="AW171" t="n">
        <v>11</v>
      </c>
      <c r="AX171" s="4" t="n"/>
      <c r="AZ171" s="305" t="n"/>
      <c r="BA171" s="305" t="inlineStr">
        <is>
          <t>SYRIA</t>
        </is>
      </c>
      <c r="BB171" s="306" t="n">
        <v>170</v>
      </c>
    </row>
    <row r="172">
      <c r="A172" s="305" t="inlineStr">
        <is>
          <t>ITALY</t>
        </is>
      </c>
      <c r="B172" s="306" t="n">
        <v>83</v>
      </c>
      <c r="M172" s="3" t="n">
        <v>40407</v>
      </c>
      <c r="N172" t="inlineStr">
        <is>
          <t>GIRIBE</t>
        </is>
      </c>
      <c r="R172" s="3" t="inlineStr">
        <is>
          <t>10132</t>
        </is>
      </c>
      <c r="Z172">
        <f>CONCATENATE("Local",AA172)</f>
        <v/>
      </c>
      <c r="AA172" s="323" t="n">
        <v>24</v>
      </c>
      <c r="AB172" s="323" t="inlineStr">
        <is>
          <t>Nyandarua South District</t>
        </is>
      </c>
      <c r="AC172" s="323" t="n">
        <v>35</v>
      </c>
      <c r="AE172" s="324" t="n">
        <v>246</v>
      </c>
      <c r="AF172" s="324" t="inlineStr">
        <is>
          <t>Kivwe</t>
        </is>
      </c>
      <c r="AG172" s="324" t="n">
        <v>49</v>
      </c>
      <c r="AU172" t="n">
        <v>267</v>
      </c>
      <c r="AV172" t="inlineStr">
        <is>
          <t>WAKULIMA MARKET</t>
        </is>
      </c>
      <c r="AW172" t="n">
        <v>11</v>
      </c>
      <c r="AX172" s="4" t="n"/>
      <c r="AZ172" s="305" t="n"/>
      <c r="BA172" s="305" t="inlineStr">
        <is>
          <t>TAIWAN</t>
        </is>
      </c>
      <c r="BB172" s="306" t="n">
        <v>171</v>
      </c>
    </row>
    <row r="173">
      <c r="A173" s="305" t="inlineStr">
        <is>
          <t>JAMAICA</t>
        </is>
      </c>
      <c r="B173" s="306" t="n">
        <v>84</v>
      </c>
      <c r="M173" s="3" t="n">
        <v>50304</v>
      </c>
      <c r="N173" t="inlineStr">
        <is>
          <t>GISAMBAI</t>
        </is>
      </c>
      <c r="R173" s="3" t="inlineStr">
        <is>
          <t>10133</t>
        </is>
      </c>
      <c r="Z173">
        <f>CONCATENATE("Local",AA173)</f>
        <v/>
      </c>
      <c r="AA173" s="323" t="n">
        <v>25</v>
      </c>
      <c r="AB173" s="323" t="inlineStr">
        <is>
          <t>Nyandarua West District</t>
        </is>
      </c>
      <c r="AC173" s="323" t="n">
        <v>35</v>
      </c>
      <c r="AE173" s="324" t="n">
        <v>385</v>
      </c>
      <c r="AF173" s="324" t="inlineStr">
        <is>
          <t>Mutunduri</t>
        </is>
      </c>
      <c r="AG173" s="324" t="n">
        <v>49</v>
      </c>
      <c r="AU173" t="n">
        <v>233</v>
      </c>
      <c r="AV173" t="inlineStr">
        <is>
          <t>DIANI BRANCH</t>
        </is>
      </c>
      <c r="AW173" t="n">
        <v>7</v>
      </c>
      <c r="AX173" s="4" t="n"/>
      <c r="AZ173" s="305" t="n"/>
      <c r="BA173" s="305" t="inlineStr">
        <is>
          <t>TAJIKISTAN</t>
        </is>
      </c>
      <c r="BB173" s="306" t="n">
        <v>172</v>
      </c>
    </row>
    <row r="174">
      <c r="A174" s="305" t="inlineStr">
        <is>
          <t>JAPAN</t>
        </is>
      </c>
      <c r="B174" s="306" t="n">
        <v>85</v>
      </c>
      <c r="M174" s="3" t="inlineStr">
        <is>
          <t>00903</t>
        </is>
      </c>
      <c r="N174" t="inlineStr">
        <is>
          <t>GITHIGA</t>
        </is>
      </c>
      <c r="R174" s="3" t="inlineStr">
        <is>
          <t>10134</t>
        </is>
      </c>
      <c r="Z174">
        <f>CONCATENATE("Local",AA174)</f>
        <v/>
      </c>
      <c r="AA174" s="323" t="n">
        <v>27</v>
      </c>
      <c r="AB174" s="323" t="inlineStr">
        <is>
          <t>Kieni East District</t>
        </is>
      </c>
      <c r="AC174" s="323" t="n">
        <v>36</v>
      </c>
      <c r="AE174" s="324" t="n">
        <v>129</v>
      </c>
      <c r="AF174" s="324" t="inlineStr">
        <is>
          <t>Ishiara</t>
        </is>
      </c>
      <c r="AG174" s="324" t="n">
        <v>50</v>
      </c>
      <c r="AU174" t="n">
        <v>231</v>
      </c>
      <c r="AV174" t="inlineStr">
        <is>
          <t>HEAD OFFICE</t>
        </is>
      </c>
      <c r="AW174" t="n">
        <v>7</v>
      </c>
      <c r="AX174" s="4" t="n"/>
      <c r="AZ174" s="305" t="n"/>
      <c r="BA174" s="305" t="inlineStr">
        <is>
          <t>TANZANIA</t>
        </is>
      </c>
      <c r="BB174" s="306" t="n">
        <v>173</v>
      </c>
    </row>
    <row r="175">
      <c r="A175" s="305" t="inlineStr">
        <is>
          <t>JORDAN</t>
        </is>
      </c>
      <c r="B175" s="306" t="n">
        <v>86</v>
      </c>
      <c r="M175" s="3" t="n">
        <v>60205</v>
      </c>
      <c r="N175" t="inlineStr">
        <is>
          <t>GITHONGO</t>
        </is>
      </c>
      <c r="R175" s="3" t="inlineStr">
        <is>
          <t>10135</t>
        </is>
      </c>
      <c r="Z175">
        <f>CONCATENATE("Local",AA175)</f>
        <v/>
      </c>
      <c r="AA175" s="323" t="n">
        <v>26</v>
      </c>
      <c r="AB175" s="323" t="inlineStr">
        <is>
          <t>Kieni West District</t>
        </is>
      </c>
      <c r="AC175" s="323" t="n">
        <v>36</v>
      </c>
      <c r="AE175" s="324" t="n">
        <v>429</v>
      </c>
      <c r="AF175" s="324" t="inlineStr">
        <is>
          <t>Nthawa</t>
        </is>
      </c>
      <c r="AG175" s="324" t="n">
        <v>50</v>
      </c>
      <c r="AU175" t="n">
        <v>232</v>
      </c>
      <c r="AV175" t="inlineStr">
        <is>
          <t>VILLAGE MARKET</t>
        </is>
      </c>
      <c r="AW175" t="n">
        <v>7</v>
      </c>
      <c r="AX175" s="4" t="n"/>
      <c r="AZ175" s="305" t="n"/>
      <c r="BA175" s="305" t="inlineStr">
        <is>
          <t>THAILAND</t>
        </is>
      </c>
      <c r="BB175" s="306" t="n">
        <v>174</v>
      </c>
    </row>
    <row r="176">
      <c r="A176" s="305" t="inlineStr">
        <is>
          <t>KAZAKHSTAN</t>
        </is>
      </c>
      <c r="B176" s="306" t="n">
        <v>87</v>
      </c>
      <c r="M176" s="3" t="inlineStr">
        <is>
          <t>01032</t>
        </is>
      </c>
      <c r="N176" t="inlineStr">
        <is>
          <t>GITHUMU</t>
        </is>
      </c>
      <c r="R176" s="3" t="inlineStr">
        <is>
          <t>10136</t>
        </is>
      </c>
      <c r="Z176">
        <f>CONCATENATE("Local",AA176)</f>
        <v/>
      </c>
      <c r="AA176" s="323" t="n">
        <v>28</v>
      </c>
      <c r="AB176" s="323" t="inlineStr">
        <is>
          <t>Mukurueini District</t>
        </is>
      </c>
      <c r="AC176" s="323" t="n">
        <v>36</v>
      </c>
      <c r="AE176" s="324" t="n">
        <v>462</v>
      </c>
      <c r="AF176" s="324" t="inlineStr">
        <is>
          <t>Siakago</t>
        </is>
      </c>
      <c r="AG176" s="324" t="n">
        <v>50</v>
      </c>
      <c r="AU176" t="n">
        <v>334</v>
      </c>
      <c r="AV176" t="inlineStr">
        <is>
          <t>EMBU BRANCH</t>
        </is>
      </c>
      <c r="AW176" t="n">
        <v>23</v>
      </c>
      <c r="AX176" s="4" t="n"/>
      <c r="AZ176" s="305" t="n"/>
      <c r="BA176" s="305" t="inlineStr">
        <is>
          <t>TOGO</t>
        </is>
      </c>
      <c r="BB176" s="306" t="n">
        <v>175</v>
      </c>
    </row>
    <row r="177">
      <c r="A177" s="305" t="inlineStr">
        <is>
          <t>KENYA</t>
        </is>
      </c>
      <c r="B177" s="306" t="n">
        <v>88</v>
      </c>
      <c r="M177" s="3" t="inlineStr">
        <is>
          <t>00216</t>
        </is>
      </c>
      <c r="N177" t="inlineStr">
        <is>
          <t>GITHUNGURI</t>
        </is>
      </c>
      <c r="R177" s="3" t="inlineStr">
        <is>
          <t>10137</t>
        </is>
      </c>
      <c r="Z177">
        <f>CONCATENATE("Local",AA177)</f>
        <v/>
      </c>
      <c r="AA177" s="323" t="n">
        <v>29</v>
      </c>
      <c r="AB177" s="323" t="inlineStr">
        <is>
          <t>Nyeri Central District</t>
        </is>
      </c>
      <c r="AC177" s="323" t="n">
        <v>36</v>
      </c>
      <c r="AE177" s="324" t="n">
        <v>89</v>
      </c>
      <c r="AF177" s="324" t="inlineStr">
        <is>
          <t>Gachoka</t>
        </is>
      </c>
      <c r="AG177" s="324" t="n">
        <v>51</v>
      </c>
      <c r="AU177" t="n">
        <v>332</v>
      </c>
      <c r="AV177" t="inlineStr">
        <is>
          <t>HEAD OFFICE</t>
        </is>
      </c>
      <c r="AW177" t="n">
        <v>23</v>
      </c>
      <c r="AX177" s="4" t="n"/>
      <c r="AZ177" s="305" t="n"/>
      <c r="BA177" s="305" t="inlineStr">
        <is>
          <t>TONGA</t>
        </is>
      </c>
      <c r="BB177" s="306" t="n">
        <v>176</v>
      </c>
    </row>
    <row r="178">
      <c r="A178" s="305" t="inlineStr">
        <is>
          <t>KIRIBATI</t>
        </is>
      </c>
      <c r="B178" s="306" t="n">
        <v>89</v>
      </c>
      <c r="M178" s="3" t="n">
        <v>60212</v>
      </c>
      <c r="N178" t="inlineStr">
        <is>
          <t>GITIMENE</t>
        </is>
      </c>
      <c r="R178" s="3" t="inlineStr">
        <is>
          <t>10138</t>
        </is>
      </c>
      <c r="Z178">
        <f>CONCATENATE("Local",AA178)</f>
        <v/>
      </c>
      <c r="AA178" s="323" t="n">
        <v>30</v>
      </c>
      <c r="AB178" s="323" t="inlineStr">
        <is>
          <t>Nyeri East District</t>
        </is>
      </c>
      <c r="AC178" s="323" t="n">
        <v>36</v>
      </c>
      <c r="AE178" s="324" t="n">
        <v>177</v>
      </c>
      <c r="AF178" s="324" t="inlineStr">
        <is>
          <t>Karaba</t>
        </is>
      </c>
      <c r="AG178" s="324" t="n">
        <v>51</v>
      </c>
      <c r="AU178" t="n">
        <v>336</v>
      </c>
      <c r="AV178" t="inlineStr">
        <is>
          <t>KOINANGE STREET BRANCH</t>
        </is>
      </c>
      <c r="AW178" t="n">
        <v>23</v>
      </c>
      <c r="AX178" s="4" t="n"/>
      <c r="AZ178" s="305" t="n"/>
      <c r="BA178" s="305" t="inlineStr">
        <is>
          <t>TRINIDAD AND TOBAGO</t>
        </is>
      </c>
      <c r="BB178" s="306" t="n">
        <v>177</v>
      </c>
    </row>
    <row r="179">
      <c r="A179" s="305" t="inlineStr">
        <is>
          <t>KOREA, NORTH</t>
        </is>
      </c>
      <c r="B179" s="306" t="n">
        <v>90</v>
      </c>
      <c r="M179" s="3" t="inlineStr">
        <is>
          <t>01003</t>
        </is>
      </c>
      <c r="N179" t="inlineStr">
        <is>
          <t>GITUAMBA</t>
        </is>
      </c>
      <c r="R179" s="3" t="inlineStr">
        <is>
          <t>10139</t>
        </is>
      </c>
      <c r="Z179">
        <f>CONCATENATE("Local",AA179)</f>
        <v/>
      </c>
      <c r="AA179" s="323" t="n">
        <v>31</v>
      </c>
      <c r="AB179" s="323" t="inlineStr">
        <is>
          <t>Nyeri South District</t>
        </is>
      </c>
      <c r="AC179" s="323" t="n">
        <v>36</v>
      </c>
      <c r="AE179" s="324" t="n">
        <v>201</v>
      </c>
      <c r="AF179" s="324" t="inlineStr">
        <is>
          <t>Kiambere</t>
        </is>
      </c>
      <c r="AG179" s="324" t="n">
        <v>51</v>
      </c>
      <c r="AU179" t="n">
        <v>338</v>
      </c>
      <c r="AV179" t="inlineStr">
        <is>
          <t>MERU BRANCH</t>
        </is>
      </c>
      <c r="AW179" t="n">
        <v>23</v>
      </c>
      <c r="AX179" s="4" t="n"/>
      <c r="AZ179" s="305" t="n"/>
      <c r="BA179" s="305" t="inlineStr">
        <is>
          <t>TUNISIA</t>
        </is>
      </c>
      <c r="BB179" s="306" t="n">
        <v>178</v>
      </c>
    </row>
    <row r="180">
      <c r="A180" s="305" t="inlineStr">
        <is>
          <t>KOREA, SOUTH</t>
        </is>
      </c>
      <c r="B180" s="306" t="n">
        <v>91</v>
      </c>
      <c r="M180" s="3" t="n">
        <v>10209</v>
      </c>
      <c r="N180" t="inlineStr">
        <is>
          <t>GITUGI</t>
        </is>
      </c>
      <c r="R180" s="3" t="inlineStr">
        <is>
          <t>10140</t>
        </is>
      </c>
      <c r="Z180">
        <f>CONCATENATE("Local",AA180)</f>
        <v/>
      </c>
      <c r="AA180" s="323" t="n">
        <v>174</v>
      </c>
      <c r="AB180" s="323" t="inlineStr">
        <is>
          <t>Samburu Central District</t>
        </is>
      </c>
      <c r="AC180" s="323" t="n">
        <v>37</v>
      </c>
      <c r="AE180" s="324" t="n">
        <v>237</v>
      </c>
      <c r="AF180" s="324" t="inlineStr">
        <is>
          <t>Kiritiri</t>
        </is>
      </c>
      <c r="AG180" s="324" t="n">
        <v>51</v>
      </c>
      <c r="AU180" t="n">
        <v>333</v>
      </c>
      <c r="AV180" t="inlineStr">
        <is>
          <t>MURANGA BRANCH</t>
        </is>
      </c>
      <c r="AW180" t="n">
        <v>23</v>
      </c>
      <c r="AX180" s="4" t="n"/>
      <c r="AZ180" s="305" t="n"/>
      <c r="BA180" s="305" t="inlineStr">
        <is>
          <t>TURKEY</t>
        </is>
      </c>
      <c r="BB180" s="306" t="n">
        <v>179</v>
      </c>
    </row>
    <row r="181">
      <c r="A181" s="305" t="inlineStr">
        <is>
          <t>KOSOVO</t>
        </is>
      </c>
      <c r="B181" s="306" t="n">
        <v>92</v>
      </c>
      <c r="M181" s="3" t="n">
        <v>80206</v>
      </c>
      <c r="N181" t="inlineStr">
        <is>
          <t>GONGONI</t>
        </is>
      </c>
      <c r="R181" s="3" t="inlineStr">
        <is>
          <t>10141</t>
        </is>
      </c>
      <c r="Z181">
        <f>CONCATENATE("Local",AA181)</f>
        <v/>
      </c>
      <c r="AA181" s="323" t="n">
        <v>175</v>
      </c>
      <c r="AB181" s="323" t="inlineStr">
        <is>
          <t>Samburu East District</t>
        </is>
      </c>
      <c r="AC181" s="323" t="n">
        <v>37</v>
      </c>
      <c r="AE181" s="324" t="n">
        <v>302</v>
      </c>
      <c r="AF181" s="324" t="inlineStr">
        <is>
          <t>Makutano</t>
        </is>
      </c>
      <c r="AG181" s="324" t="n">
        <v>51</v>
      </c>
      <c r="AU181" t="n">
        <v>335</v>
      </c>
      <c r="AV181" t="inlineStr">
        <is>
          <t>NKRUMAH ROAD BRANCH</t>
        </is>
      </c>
      <c r="AW181" t="n">
        <v>23</v>
      </c>
      <c r="AX181" s="4" t="n"/>
      <c r="AZ181" s="305" t="n"/>
      <c r="BA181" s="305" t="inlineStr">
        <is>
          <t>TURKMENISTAN</t>
        </is>
      </c>
      <c r="BB181" s="306" t="n">
        <v>180</v>
      </c>
    </row>
    <row r="182">
      <c r="A182" s="305" t="inlineStr">
        <is>
          <t>KUWAIT</t>
        </is>
      </c>
      <c r="B182" s="306" t="n">
        <v>93</v>
      </c>
      <c r="M182" s="3" t="n">
        <v>20411</v>
      </c>
      <c r="N182" t="inlineStr">
        <is>
          <t>GORGOR</t>
        </is>
      </c>
      <c r="R182" s="3" t="inlineStr">
        <is>
          <t>10200</t>
        </is>
      </c>
      <c r="Z182">
        <f>CONCATENATE("Local",AA182)</f>
        <v/>
      </c>
      <c r="AA182" s="323" t="n">
        <v>176</v>
      </c>
      <c r="AB182" s="323" t="inlineStr">
        <is>
          <t>Samburu North District</t>
        </is>
      </c>
      <c r="AC182" s="323" t="n">
        <v>37</v>
      </c>
      <c r="AE182" s="324" t="n">
        <v>444</v>
      </c>
      <c r="AF182" s="324" t="inlineStr">
        <is>
          <t>Riakanaumakima</t>
        </is>
      </c>
      <c r="AG182" s="324" t="n">
        <v>51</v>
      </c>
      <c r="AU182" t="n">
        <v>339</v>
      </c>
      <c r="AV182" t="inlineStr">
        <is>
          <t>NYERI BRANCH</t>
        </is>
      </c>
      <c r="AW182" t="n">
        <v>23</v>
      </c>
      <c r="AX182" s="4" t="n"/>
      <c r="AZ182" s="305" t="n"/>
      <c r="BA182" s="305" t="inlineStr">
        <is>
          <t>TUVALU</t>
        </is>
      </c>
      <c r="BB182" s="306" t="n">
        <v>181</v>
      </c>
    </row>
    <row r="183">
      <c r="A183" s="305" t="inlineStr">
        <is>
          <t>KYRGYZSTAN</t>
        </is>
      </c>
      <c r="B183" s="306" t="n">
        <v>94</v>
      </c>
      <c r="M183" s="3" t="n">
        <v>40313</v>
      </c>
      <c r="N183" t="inlineStr">
        <is>
          <t>GOT OYARO</t>
        </is>
      </c>
      <c r="R183" s="3" t="inlineStr">
        <is>
          <t>10201</t>
        </is>
      </c>
      <c r="Z183">
        <f>CONCATENATE("Local",AA183)</f>
        <v/>
      </c>
      <c r="AA183" s="323" t="n">
        <v>136</v>
      </c>
      <c r="AB183" s="323" t="inlineStr">
        <is>
          <t>Bondo District</t>
        </is>
      </c>
      <c r="AC183" s="323" t="n">
        <v>38</v>
      </c>
      <c r="AE183" s="324" t="n">
        <v>545</v>
      </c>
      <c r="AF183" s="324" t="inlineStr">
        <is>
          <t>Garbatula</t>
        </is>
      </c>
      <c r="AG183" s="324" t="n">
        <v>52</v>
      </c>
      <c r="AU183" t="n">
        <v>337</v>
      </c>
      <c r="AV183" t="inlineStr">
        <is>
          <t>THIKA BRANCH</t>
        </is>
      </c>
      <c r="AW183" t="n">
        <v>23</v>
      </c>
      <c r="AX183" s="4" t="n"/>
      <c r="AZ183" s="305" t="n"/>
      <c r="BA183" s="305" t="inlineStr">
        <is>
          <t>UGANDA</t>
        </is>
      </c>
      <c r="BB183" s="306" t="n">
        <v>182</v>
      </c>
    </row>
    <row r="184">
      <c r="A184" s="305" t="inlineStr">
        <is>
          <t>LAOS</t>
        </is>
      </c>
      <c r="B184" s="306" t="n">
        <v>95</v>
      </c>
      <c r="M184" s="3" t="n">
        <v>70202</v>
      </c>
      <c r="N184" t="inlineStr">
        <is>
          <t>GRIFTU</t>
        </is>
      </c>
      <c r="R184" s="3" t="inlineStr">
        <is>
          <t>10202</t>
        </is>
      </c>
      <c r="Z184">
        <f>CONCATENATE("Local",AA184)</f>
        <v/>
      </c>
      <c r="AA184" s="323" t="n">
        <v>137</v>
      </c>
      <c r="AB184" s="323" t="inlineStr">
        <is>
          <t>Rarieda District</t>
        </is>
      </c>
      <c r="AC184" s="323" t="n">
        <v>38</v>
      </c>
      <c r="AE184" s="324" t="n">
        <v>546</v>
      </c>
      <c r="AF184" s="324" t="inlineStr">
        <is>
          <t>Isiolo</t>
        </is>
      </c>
      <c r="AG184" s="324" t="n">
        <v>53</v>
      </c>
      <c r="AU184" t="n">
        <v>340</v>
      </c>
      <c r="AV184" t="inlineStr">
        <is>
          <t>HEAD OFFICE</t>
        </is>
      </c>
      <c r="AW184" t="n">
        <v>25</v>
      </c>
      <c r="AX184" s="4" t="n"/>
      <c r="AZ184" s="305" t="n"/>
      <c r="BA184" s="305" t="inlineStr">
        <is>
          <t>UKRAINE</t>
        </is>
      </c>
      <c r="BB184" s="306" t="n">
        <v>183</v>
      </c>
    </row>
    <row r="185">
      <c r="A185" s="305" t="inlineStr">
        <is>
          <t>LATVIA</t>
        </is>
      </c>
      <c r="B185" s="306" t="n">
        <v>96</v>
      </c>
      <c r="M185" s="3" t="n">
        <v>70201</v>
      </c>
      <c r="N185" t="inlineStr">
        <is>
          <t>HABASWEIN</t>
        </is>
      </c>
      <c r="R185" s="3" t="inlineStr">
        <is>
          <t>10203</t>
        </is>
      </c>
      <c r="Z185">
        <f>CONCATENATE("Local",AA185)</f>
        <v/>
      </c>
      <c r="AA185" s="323" t="n">
        <v>138</v>
      </c>
      <c r="AB185" s="323" t="inlineStr">
        <is>
          <t>Siaya District</t>
        </is>
      </c>
      <c r="AC185" s="323" t="n">
        <v>38</v>
      </c>
      <c r="AE185" s="324" t="n">
        <v>547</v>
      </c>
      <c r="AF185" s="324" t="inlineStr">
        <is>
          <t>Kitui Central</t>
        </is>
      </c>
      <c r="AG185" s="324" t="n">
        <v>54</v>
      </c>
      <c r="AU185" t="n">
        <v>409</v>
      </c>
      <c r="AV185" t="inlineStr">
        <is>
          <t>HEAD OFFICE</t>
        </is>
      </c>
      <c r="AW185" t="n">
        <v>59</v>
      </c>
      <c r="AX185" s="4" t="n"/>
      <c r="AZ185" s="305" t="n"/>
      <c r="BA185" s="305" t="inlineStr">
        <is>
          <t>UNITED ARAB EMIRATES</t>
        </is>
      </c>
      <c r="BB185" s="306" t="n">
        <v>184</v>
      </c>
    </row>
    <row r="186">
      <c r="A186" s="305" t="inlineStr">
        <is>
          <t>LEBANON</t>
        </is>
      </c>
      <c r="B186" s="306" t="n">
        <v>97</v>
      </c>
      <c r="M186" s="3" t="n">
        <v>50407</v>
      </c>
      <c r="N186" t="inlineStr">
        <is>
          <t>HAKATI</t>
        </is>
      </c>
      <c r="R186" s="3" t="inlineStr">
        <is>
          <t>10204</t>
        </is>
      </c>
      <c r="Z186">
        <f>CONCATENATE("Local",AA186)</f>
        <v/>
      </c>
      <c r="AA186" s="323" t="n">
        <v>42</v>
      </c>
      <c r="AB186" s="323" t="inlineStr">
        <is>
          <t>Taita District</t>
        </is>
      </c>
      <c r="AC186" s="323" t="n">
        <v>39</v>
      </c>
      <c r="AE186" s="324" t="n">
        <v>548</v>
      </c>
      <c r="AF186" s="324" t="inlineStr">
        <is>
          <t>Kitui West</t>
        </is>
      </c>
      <c r="AG186" s="324" t="n">
        <v>55</v>
      </c>
      <c r="AU186" t="n">
        <v>410</v>
      </c>
      <c r="AV186" t="inlineStr">
        <is>
          <t>LOITA STREET BRANCH</t>
        </is>
      </c>
      <c r="AW186" t="n">
        <v>59</v>
      </c>
      <c r="AX186" s="4" t="n"/>
      <c r="AZ186" s="305" t="n"/>
      <c r="BA186" s="305" t="inlineStr">
        <is>
          <t>UNITED KINGDOM</t>
        </is>
      </c>
      <c r="BB186" s="306" t="n">
        <v>185</v>
      </c>
    </row>
    <row r="187">
      <c r="A187" s="305" t="inlineStr">
        <is>
          <t>LESOTHO</t>
        </is>
      </c>
      <c r="B187" s="306" t="n">
        <v>98</v>
      </c>
      <c r="M187" s="3" t="n">
        <v>50312</v>
      </c>
      <c r="N187" t="inlineStr">
        <is>
          <t>HAMISI</t>
        </is>
      </c>
      <c r="R187" s="3" t="inlineStr">
        <is>
          <t>10205</t>
        </is>
      </c>
      <c r="Z187">
        <f>CONCATENATE("Local",AA187)</f>
        <v/>
      </c>
      <c r="AA187" s="323" t="n">
        <v>43</v>
      </c>
      <c r="AB187" s="323" t="inlineStr">
        <is>
          <t>Taveta District</t>
        </is>
      </c>
      <c r="AC187" s="323" t="n">
        <v>39</v>
      </c>
      <c r="AE187" s="324" t="n">
        <v>85</v>
      </c>
      <c r="AF187" s="324" t="inlineStr">
        <is>
          <t>Fino</t>
        </is>
      </c>
      <c r="AG187" s="324" t="n">
        <v>56</v>
      </c>
      <c r="AU187" t="n">
        <v>417</v>
      </c>
      <c r="AV187" t="inlineStr">
        <is>
          <t>HEAD OFFICE</t>
        </is>
      </c>
      <c r="AW187" t="n">
        <v>63</v>
      </c>
      <c r="AX187" s="4" t="n"/>
      <c r="AZ187" s="305" t="n"/>
      <c r="BA187" s="305" t="inlineStr">
        <is>
          <t>UNITED STATES OF AMERICA</t>
        </is>
      </c>
      <c r="BB187" s="306" t="n">
        <v>186</v>
      </c>
    </row>
    <row r="188">
      <c r="A188" s="305" t="inlineStr">
        <is>
          <t>LIBERIA</t>
        </is>
      </c>
      <c r="B188" s="306" t="n">
        <v>99</v>
      </c>
      <c r="M188" s="3" t="n">
        <v>40640</v>
      </c>
      <c r="N188" t="inlineStr">
        <is>
          <t>HAWINGA</t>
        </is>
      </c>
      <c r="R188" s="3" t="inlineStr">
        <is>
          <t>10206</t>
        </is>
      </c>
      <c r="Z188">
        <f>CONCATENATE("Local",AA188)</f>
        <v/>
      </c>
      <c r="AA188" s="323" t="n">
        <v>45</v>
      </c>
      <c r="AB188" s="323" t="inlineStr">
        <is>
          <t>Voi</t>
        </is>
      </c>
      <c r="AC188" s="323" t="n">
        <v>39</v>
      </c>
      <c r="AE188" s="324" t="n">
        <v>157</v>
      </c>
      <c r="AF188" s="324" t="inlineStr">
        <is>
          <t>Kamuongo</t>
        </is>
      </c>
      <c r="AG188" s="324" t="n">
        <v>56</v>
      </c>
      <c r="AU188" t="n">
        <v>419</v>
      </c>
      <c r="AV188" t="inlineStr">
        <is>
          <t>INDUSTRIAL AREA</t>
        </is>
      </c>
      <c r="AW188" t="n">
        <v>63</v>
      </c>
      <c r="AX188" s="4" t="n"/>
      <c r="AZ188" s="305" t="n"/>
      <c r="BA188" s="305" t="inlineStr">
        <is>
          <t>URUGUAY</t>
        </is>
      </c>
      <c r="BB188" s="306" t="n">
        <v>187</v>
      </c>
    </row>
    <row r="189">
      <c r="A189" s="305" t="inlineStr">
        <is>
          <t>LIBYA</t>
        </is>
      </c>
      <c r="B189" s="306" t="n">
        <v>100</v>
      </c>
      <c r="M189" s="3" t="inlineStr">
        <is>
          <t>00612</t>
        </is>
      </c>
      <c r="N189" t="inlineStr">
        <is>
          <t>HIGHRIDGE</t>
        </is>
      </c>
      <c r="R189" s="3" t="inlineStr">
        <is>
          <t>10207</t>
        </is>
      </c>
      <c r="Z189">
        <f>CONCATENATE("Local",AA189)</f>
        <v/>
      </c>
      <c r="AA189" s="323" t="n">
        <v>44</v>
      </c>
      <c r="AB189" s="323" t="inlineStr">
        <is>
          <t>Wundanyi</t>
        </is>
      </c>
      <c r="AC189" s="323" t="n">
        <v>39</v>
      </c>
      <c r="AE189" s="324" t="n">
        <v>188</v>
      </c>
      <c r="AF189" s="324" t="inlineStr">
        <is>
          <t>Katse</t>
        </is>
      </c>
      <c r="AG189" s="324" t="n">
        <v>56</v>
      </c>
      <c r="AU189" t="n">
        <v>420</v>
      </c>
      <c r="AV189" t="inlineStr">
        <is>
          <t>KISII</t>
        </is>
      </c>
      <c r="AW189" t="n">
        <v>63</v>
      </c>
      <c r="AX189" s="4" t="n"/>
      <c r="AZ189" s="305" t="n"/>
      <c r="BA189" s="305" t="inlineStr">
        <is>
          <t>UZBEKISTAN</t>
        </is>
      </c>
      <c r="BB189" s="306" t="n">
        <v>188</v>
      </c>
    </row>
    <row r="190">
      <c r="A190" s="305" t="inlineStr">
        <is>
          <t>LIECHTENSTEIN</t>
        </is>
      </c>
      <c r="B190" s="306" t="n">
        <v>101</v>
      </c>
      <c r="M190" s="3" t="n">
        <v>70101</v>
      </c>
      <c r="N190" t="inlineStr">
        <is>
          <t>HOLA</t>
        </is>
      </c>
      <c r="R190" s="3" t="inlineStr">
        <is>
          <t>10208</t>
        </is>
      </c>
      <c r="Z190">
        <f>CONCATENATE("Local",AA190)</f>
        <v/>
      </c>
      <c r="AA190" s="323" t="n">
        <v>46</v>
      </c>
      <c r="AB190" s="323" t="inlineStr">
        <is>
          <t>Tana Delta District</t>
        </is>
      </c>
      <c r="AC190" s="323" t="n">
        <v>40</v>
      </c>
      <c r="AE190" s="324" t="n">
        <v>223</v>
      </c>
      <c r="AF190" s="324" t="inlineStr">
        <is>
          <t>Kimangao</t>
        </is>
      </c>
      <c r="AG190" s="324" t="n">
        <v>56</v>
      </c>
      <c r="AU190" t="n">
        <v>422</v>
      </c>
      <c r="AV190" t="inlineStr">
        <is>
          <t>OTC</t>
        </is>
      </c>
      <c r="AW190" t="n">
        <v>63</v>
      </c>
      <c r="AX190" s="4" t="n"/>
      <c r="AZ190" s="305" t="n"/>
      <c r="BA190" s="305" t="inlineStr">
        <is>
          <t>VANUATU</t>
        </is>
      </c>
      <c r="BB190" s="306" t="n">
        <v>189</v>
      </c>
    </row>
    <row r="191">
      <c r="A191" s="305" t="inlineStr">
        <is>
          <t>LITHUANIA</t>
        </is>
      </c>
      <c r="B191" s="306" t="n">
        <v>102</v>
      </c>
      <c r="M191" s="3" t="n">
        <v>40300</v>
      </c>
      <c r="N191" t="inlineStr">
        <is>
          <t>HOMABAY</t>
        </is>
      </c>
      <c r="R191" s="3" t="inlineStr">
        <is>
          <t>10209</t>
        </is>
      </c>
      <c r="Z191">
        <f>CONCATENATE("Local",AA191)</f>
        <v/>
      </c>
      <c r="AA191" s="323" t="n">
        <v>47</v>
      </c>
      <c r="AB191" s="323" t="inlineStr">
        <is>
          <t>Tana River District</t>
        </is>
      </c>
      <c r="AC191" s="323" t="n">
        <v>40</v>
      </c>
      <c r="AE191" s="324" t="n">
        <v>260</v>
      </c>
      <c r="AF191" s="324" t="inlineStr">
        <is>
          <t>Kyuso</t>
        </is>
      </c>
      <c r="AG191" s="324" t="n">
        <v>56</v>
      </c>
      <c r="AU191" t="n">
        <v>421</v>
      </c>
      <c r="AV191" t="inlineStr">
        <is>
          <t>THIKA</t>
        </is>
      </c>
      <c r="AW191" t="n">
        <v>63</v>
      </c>
      <c r="AX191" s="4" t="n"/>
      <c r="AZ191" s="305" t="n"/>
      <c r="BA191" s="305" t="inlineStr">
        <is>
          <t>VANUATU</t>
        </is>
      </c>
      <c r="BB191" s="306" t="n">
        <v>190</v>
      </c>
    </row>
    <row r="192">
      <c r="A192" s="305" t="inlineStr">
        <is>
          <t>LUXEMBOURG</t>
        </is>
      </c>
      <c r="B192" s="306" t="n">
        <v>103</v>
      </c>
      <c r="M192" s="3" t="n">
        <v>30109</v>
      </c>
      <c r="N192" t="inlineStr">
        <is>
          <t>HURUMA</t>
        </is>
      </c>
      <c r="R192" s="3" t="inlineStr">
        <is>
          <t>10210</t>
        </is>
      </c>
      <c r="Z192">
        <f>CONCATENATE("Local",AA192)</f>
        <v/>
      </c>
      <c r="AA192" s="323" t="n">
        <v>88</v>
      </c>
      <c r="AB192" s="323" t="inlineStr">
        <is>
          <t>Tharaka North District</t>
        </is>
      </c>
      <c r="AC192" s="323" t="n">
        <v>41</v>
      </c>
      <c r="AE192" s="324" t="n">
        <v>261</v>
      </c>
      <c r="AF192" s="324" t="inlineStr">
        <is>
          <t>Lafey</t>
        </is>
      </c>
      <c r="AG192" s="324" t="n">
        <v>56</v>
      </c>
      <c r="AU192" t="n">
        <v>418</v>
      </c>
      <c r="AV192" t="inlineStr">
        <is>
          <t>WESTGATE</t>
        </is>
      </c>
      <c r="AW192" t="n">
        <v>63</v>
      </c>
      <c r="AX192" s="4" t="n"/>
      <c r="AZ192" s="305" t="n"/>
      <c r="BA192" s="305" t="inlineStr">
        <is>
          <t>VENEZUELA</t>
        </is>
      </c>
      <c r="BB192" s="306" t="n">
        <v>191</v>
      </c>
    </row>
    <row r="193">
      <c r="A193" s="305" t="inlineStr">
        <is>
          <t>MACEDONIA</t>
        </is>
      </c>
      <c r="B193" s="306" t="n">
        <v>104</v>
      </c>
      <c r="M193" s="3" t="n">
        <v>10227</v>
      </c>
      <c r="N193" t="inlineStr">
        <is>
          <t>ICHICHI</t>
        </is>
      </c>
      <c r="R193" s="3" t="inlineStr">
        <is>
          <t>10211</t>
        </is>
      </c>
      <c r="Z193">
        <f>CONCATENATE("Local",AA193)</f>
        <v/>
      </c>
      <c r="AA193" s="323" t="n">
        <v>89</v>
      </c>
      <c r="AB193" s="323" t="inlineStr">
        <is>
          <t>Tharaka South District</t>
        </is>
      </c>
      <c r="AC193" s="323" t="n">
        <v>41</v>
      </c>
      <c r="AE193" s="324" t="n">
        <v>505</v>
      </c>
      <c r="AF193" s="324" t="inlineStr">
        <is>
          <t>Waita</t>
        </is>
      </c>
      <c r="AG193" s="324" t="n">
        <v>56</v>
      </c>
      <c r="AU193" t="n">
        <v>331</v>
      </c>
      <c r="AV193" t="inlineStr">
        <is>
          <t>HEAD OFFICE</t>
        </is>
      </c>
      <c r="AW193" t="n">
        <v>20</v>
      </c>
      <c r="AX193" s="4" t="n"/>
      <c r="AZ193" s="305" t="n"/>
      <c r="BA193" s="305" t="inlineStr">
        <is>
          <t>VIETNAM</t>
        </is>
      </c>
      <c r="BB193" s="306" t="n">
        <v>192</v>
      </c>
    </row>
    <row r="194">
      <c r="A194" s="305" t="inlineStr">
        <is>
          <t>MADAGASCAR</t>
        </is>
      </c>
      <c r="B194" s="306" t="n">
        <v>105</v>
      </c>
      <c r="M194" s="3" t="n">
        <v>40209</v>
      </c>
      <c r="N194" t="inlineStr">
        <is>
          <t>IGARE</t>
        </is>
      </c>
      <c r="R194" s="3" t="inlineStr">
        <is>
          <t>10212</t>
        </is>
      </c>
      <c r="Z194">
        <f>CONCATENATE("Local",AA194)</f>
        <v/>
      </c>
      <c r="AA194" s="323" t="n">
        <v>179</v>
      </c>
      <c r="AB194" s="323" t="inlineStr">
        <is>
          <t>Kwanza District</t>
        </is>
      </c>
      <c r="AC194" s="323" t="n">
        <v>42</v>
      </c>
      <c r="AE194" s="324" t="n">
        <v>549</v>
      </c>
      <c r="AF194" s="324" t="inlineStr">
        <is>
          <t>Mutitu</t>
        </is>
      </c>
      <c r="AG194" s="324" t="n">
        <v>57</v>
      </c>
      <c r="AU194" t="n">
        <v>383</v>
      </c>
      <c r="AV194" t="inlineStr">
        <is>
          <t>HEAD OFFICE</t>
        </is>
      </c>
      <c r="AW194" t="n">
        <v>49</v>
      </c>
      <c r="AX194" s="4" t="n"/>
      <c r="AZ194" s="305" t="n"/>
      <c r="BA194" s="305" t="inlineStr">
        <is>
          <t>YEMEN</t>
        </is>
      </c>
      <c r="BB194" s="306" t="n">
        <v>193</v>
      </c>
    </row>
    <row r="195">
      <c r="A195" s="305" t="inlineStr">
        <is>
          <t>MALAWI</t>
        </is>
      </c>
      <c r="B195" s="306" t="n">
        <v>106</v>
      </c>
      <c r="M195" s="3" t="inlineStr">
        <is>
          <t>01006</t>
        </is>
      </c>
      <c r="N195" t="inlineStr">
        <is>
          <t>IGEGANIA</t>
        </is>
      </c>
      <c r="R195" s="3" t="inlineStr">
        <is>
          <t>10213</t>
        </is>
      </c>
      <c r="Z195">
        <f>CONCATENATE("Local",AA195)</f>
        <v/>
      </c>
      <c r="AA195" s="323" t="n">
        <v>177</v>
      </c>
      <c r="AB195" s="323" t="inlineStr">
        <is>
          <t>Trans Nzoia East District</t>
        </is>
      </c>
      <c r="AC195" s="323" t="n">
        <v>42</v>
      </c>
      <c r="AE195" s="324" t="n">
        <v>550</v>
      </c>
      <c r="AF195" s="324" t="inlineStr">
        <is>
          <t>Mutomo</t>
        </is>
      </c>
      <c r="AG195" s="324" t="n">
        <v>58</v>
      </c>
      <c r="AU195" t="n">
        <v>384</v>
      </c>
      <c r="AV195" t="inlineStr">
        <is>
          <t>MOMBASA BRANCH</t>
        </is>
      </c>
      <c r="AW195" t="n">
        <v>49</v>
      </c>
      <c r="AX195" s="4" t="n"/>
      <c r="AZ195" s="305" t="n"/>
      <c r="BA195" s="305" t="inlineStr">
        <is>
          <t>ZAMBIA</t>
        </is>
      </c>
      <c r="BB195" s="306" t="n">
        <v>194</v>
      </c>
    </row>
    <row r="196">
      <c r="A196" s="305" t="inlineStr">
        <is>
          <t>MALAYSIA</t>
        </is>
      </c>
      <c r="B196" s="306" t="n">
        <v>107</v>
      </c>
      <c r="M196" s="3" t="n">
        <v>60402</v>
      </c>
      <c r="N196" t="inlineStr">
        <is>
          <t>IGOJI</t>
        </is>
      </c>
      <c r="R196" s="3" t="inlineStr">
        <is>
          <t>10214</t>
        </is>
      </c>
      <c r="Z196">
        <f>CONCATENATE("Local",AA196)</f>
        <v/>
      </c>
      <c r="AA196" s="323" t="n">
        <v>178</v>
      </c>
      <c r="AB196" s="323" t="inlineStr">
        <is>
          <t>Trans Nzoia West District</t>
        </is>
      </c>
      <c r="AC196" s="323" t="n">
        <v>42</v>
      </c>
      <c r="AE196" s="324" t="n">
        <v>337</v>
      </c>
      <c r="AF196" s="324" t="inlineStr">
        <is>
          <t>Mathuki</t>
        </is>
      </c>
      <c r="AG196" s="324" t="n">
        <v>59</v>
      </c>
      <c r="AU196" t="n">
        <v>500</v>
      </c>
      <c r="AV196" t="inlineStr">
        <is>
          <t>BONDO</t>
        </is>
      </c>
      <c r="AW196" t="n">
        <v>68</v>
      </c>
      <c r="AX196" s="4" t="n"/>
      <c r="AZ196" s="305" t="n"/>
      <c r="BA196" s="305" t="inlineStr">
        <is>
          <t>ZIMBAMBWE</t>
        </is>
      </c>
      <c r="BB196" s="306" t="n">
        <v>195</v>
      </c>
    </row>
    <row r="197">
      <c r="A197" s="305" t="inlineStr">
        <is>
          <t>MALDIVES</t>
        </is>
      </c>
      <c r="B197" s="306" t="n">
        <v>108</v>
      </c>
      <c r="M197" s="3" t="n">
        <v>20307</v>
      </c>
      <c r="N197" t="inlineStr">
        <is>
          <t>IGWAMITI</t>
        </is>
      </c>
      <c r="R197" s="3" t="inlineStr">
        <is>
          <t>10215</t>
        </is>
      </c>
      <c r="Z197">
        <f>CONCATENATE("Local",AA197)</f>
        <v/>
      </c>
      <c r="AA197" s="323" t="n">
        <v>185</v>
      </c>
      <c r="AB197" s="323" t="inlineStr">
        <is>
          <t>Loima District</t>
        </is>
      </c>
      <c r="AC197" s="323" t="n">
        <v>43</v>
      </c>
      <c r="AE197" s="324" t="n">
        <v>351</v>
      </c>
      <c r="AF197" s="324" t="inlineStr">
        <is>
          <t>Migwani</t>
        </is>
      </c>
      <c r="AG197" s="324" t="n">
        <v>59</v>
      </c>
      <c r="AU197" t="n">
        <v>503</v>
      </c>
      <c r="AV197" t="inlineStr">
        <is>
          <t>BUSIA</t>
        </is>
      </c>
      <c r="AW197" t="n">
        <v>68</v>
      </c>
      <c r="AX197" s="4" t="n"/>
      <c r="AZ197" s="305" t="n"/>
      <c r="BA197" s="305" t="inlineStr">
        <is>
          <t>GUINEA-BISSAU</t>
        </is>
      </c>
      <c r="BB197" s="306" t="n">
        <v>196</v>
      </c>
    </row>
    <row r="198">
      <c r="A198" s="305" t="inlineStr">
        <is>
          <t>MALI</t>
        </is>
      </c>
      <c r="B198" s="306" t="n">
        <v>109</v>
      </c>
      <c r="M198" s="3" t="n">
        <v>10118</v>
      </c>
      <c r="N198" t="inlineStr">
        <is>
          <t>IHURURU MARKET</t>
        </is>
      </c>
      <c r="R198" s="3" t="inlineStr">
        <is>
          <t>10216</t>
        </is>
      </c>
      <c r="Z198">
        <f>CONCATENATE("Local",AA198)</f>
        <v/>
      </c>
      <c r="AA198" s="323" t="n">
        <v>180</v>
      </c>
      <c r="AB198" s="323" t="inlineStr">
        <is>
          <t>Turkana Central District</t>
        </is>
      </c>
      <c r="AC198" s="323" t="n">
        <v>43</v>
      </c>
      <c r="AE198" s="324" t="n">
        <v>424</v>
      </c>
      <c r="AF198" s="324" t="inlineStr">
        <is>
          <t>Nguni</t>
        </is>
      </c>
      <c r="AG198" s="324" t="n">
        <v>59</v>
      </c>
      <c r="AU198" t="n">
        <v>475</v>
      </c>
      <c r="AV198" t="inlineStr">
        <is>
          <t>CHUKA</t>
        </is>
      </c>
      <c r="AW198" t="n">
        <v>68</v>
      </c>
      <c r="AX198" s="4" t="n"/>
    </row>
    <row r="199">
      <c r="A199" s="305" t="inlineStr">
        <is>
          <t>MALTA</t>
        </is>
      </c>
      <c r="B199" s="306" t="n">
        <v>110</v>
      </c>
      <c r="M199" s="3" t="n">
        <v>90120</v>
      </c>
      <c r="N199" t="inlineStr">
        <is>
          <t>IIANI YI MANG'ULU</t>
        </is>
      </c>
      <c r="R199" s="3" t="inlineStr">
        <is>
          <t>10217</t>
        </is>
      </c>
      <c r="Z199">
        <f>CONCATENATE("Local",AA199)</f>
        <v/>
      </c>
      <c r="AA199" s="323" t="n">
        <v>181</v>
      </c>
      <c r="AB199" s="323" t="inlineStr">
        <is>
          <t>Turkana East District</t>
        </is>
      </c>
      <c r="AC199" s="323" t="n">
        <v>43</v>
      </c>
      <c r="AE199" s="324" t="n">
        <v>69</v>
      </c>
      <c r="AF199" s="324" t="inlineStr">
        <is>
          <t>Ekalakala</t>
        </is>
      </c>
      <c r="AG199" s="324" t="n">
        <v>60</v>
      </c>
      <c r="AU199" t="n">
        <v>472</v>
      </c>
      <c r="AV199" t="inlineStr">
        <is>
          <t>COMMUNITY</t>
        </is>
      </c>
      <c r="AW199" t="n">
        <v>68</v>
      </c>
      <c r="AX199" s="4" t="n"/>
    </row>
    <row r="200">
      <c r="A200" s="305" t="inlineStr">
        <is>
          <t>MARSHALL ISLANDS</t>
        </is>
      </c>
      <c r="B200" s="306" t="n">
        <v>111</v>
      </c>
      <c r="M200" s="3" t="n">
        <v>90135</v>
      </c>
      <c r="N200" t="inlineStr">
        <is>
          <t>IKALAASA</t>
        </is>
      </c>
      <c r="R200" s="3" t="inlineStr">
        <is>
          <t>10218</t>
        </is>
      </c>
      <c r="Z200">
        <f>CONCATENATE("Local",AA200)</f>
        <v/>
      </c>
      <c r="AA200" s="323" t="n">
        <v>182</v>
      </c>
      <c r="AB200" s="323" t="inlineStr">
        <is>
          <t>Turkana North District</t>
        </is>
      </c>
      <c r="AC200" s="323" t="n">
        <v>43</v>
      </c>
      <c r="AE200" s="324" t="n">
        <v>106</v>
      </c>
      <c r="AF200" s="324" t="inlineStr">
        <is>
          <t>Gikoe</t>
        </is>
      </c>
      <c r="AG200" s="324" t="n">
        <v>60</v>
      </c>
      <c r="AU200" t="n">
        <v>507</v>
      </c>
      <c r="AV200" t="inlineStr">
        <is>
          <t>DONHOLM</t>
        </is>
      </c>
      <c r="AW200" t="n">
        <v>68</v>
      </c>
      <c r="AX200" s="4" t="n"/>
    </row>
    <row r="201">
      <c r="A201" s="305" t="inlineStr">
        <is>
          <t>MAURITANIA</t>
        </is>
      </c>
      <c r="B201" s="306" t="n">
        <v>112</v>
      </c>
      <c r="M201" s="3" t="n">
        <v>40415</v>
      </c>
      <c r="N201" t="inlineStr">
        <is>
          <t>IKEREGE</t>
        </is>
      </c>
      <c r="R201" s="3" t="inlineStr">
        <is>
          <t>10219</t>
        </is>
      </c>
      <c r="Z201">
        <f>CONCATENATE("Local",AA201)</f>
        <v/>
      </c>
      <c r="AA201" s="323" t="n">
        <v>183</v>
      </c>
      <c r="AB201" s="323" t="inlineStr">
        <is>
          <t>Turkana South District</t>
        </is>
      </c>
      <c r="AC201" s="323" t="n">
        <v>43</v>
      </c>
      <c r="AE201" s="324" t="n">
        <v>114</v>
      </c>
      <c r="AF201" s="324" t="inlineStr">
        <is>
          <t>Gitugi</t>
        </is>
      </c>
      <c r="AG201" s="324" t="n">
        <v>60</v>
      </c>
      <c r="AU201" t="n">
        <v>509</v>
      </c>
      <c r="AV201" t="inlineStr">
        <is>
          <t>EASTLEIGH</t>
        </is>
      </c>
      <c r="AW201" t="n">
        <v>68</v>
      </c>
      <c r="AX201" s="4" t="n"/>
    </row>
    <row r="202">
      <c r="A202" s="305" t="inlineStr">
        <is>
          <t>MAURITIUS</t>
        </is>
      </c>
      <c r="B202" s="306" t="n">
        <v>113</v>
      </c>
      <c r="M202" s="3" t="inlineStr">
        <is>
          <t>00904</t>
        </is>
      </c>
      <c r="N202" t="inlineStr">
        <is>
          <t>IKINU</t>
        </is>
      </c>
      <c r="R202" s="3" t="inlineStr">
        <is>
          <t>10220</t>
        </is>
      </c>
      <c r="Z202">
        <f>CONCATENATE("Local",AA202)</f>
        <v/>
      </c>
      <c r="AA202" s="323" t="n">
        <v>184</v>
      </c>
      <c r="AB202" s="323" t="inlineStr">
        <is>
          <t>Turkana West District</t>
        </is>
      </c>
      <c r="AC202" s="323" t="n">
        <v>43</v>
      </c>
      <c r="AE202" s="324" t="n">
        <v>153</v>
      </c>
      <c r="AF202" s="324" t="inlineStr">
        <is>
          <t>Kamacharia</t>
        </is>
      </c>
      <c r="AG202" s="324" t="n">
        <v>60</v>
      </c>
      <c r="AU202" t="n">
        <v>473</v>
      </c>
      <c r="AV202" t="inlineStr">
        <is>
          <t>EMBU</t>
        </is>
      </c>
      <c r="AW202" t="n">
        <v>68</v>
      </c>
      <c r="AX202" s="4" t="n"/>
    </row>
    <row r="203">
      <c r="A203" s="305" t="inlineStr">
        <is>
          <t>MEXICO</t>
        </is>
      </c>
      <c r="B203" s="306" t="n">
        <v>114</v>
      </c>
      <c r="M203" s="3" t="n">
        <v>40501</v>
      </c>
      <c r="N203" t="inlineStr">
        <is>
          <t>IKONGE</t>
        </is>
      </c>
      <c r="R203" s="3" t="inlineStr">
        <is>
          <t>10221</t>
        </is>
      </c>
      <c r="Z203">
        <f>CONCATENATE("Local",AA203)</f>
        <v/>
      </c>
      <c r="AA203" s="323" t="n">
        <v>186</v>
      </c>
      <c r="AB203" s="323" t="inlineStr">
        <is>
          <t>Eldoret East District</t>
        </is>
      </c>
      <c r="AC203" s="323" t="n">
        <v>44</v>
      </c>
      <c r="AE203" s="324" t="n">
        <v>220</v>
      </c>
      <c r="AF203" s="324" t="inlineStr">
        <is>
          <t>Kikumini</t>
        </is>
      </c>
      <c r="AG203" s="324" t="n">
        <v>60</v>
      </c>
      <c r="AU203" t="n">
        <v>505</v>
      </c>
      <c r="AV203" t="inlineStr">
        <is>
          <t>ENTERPRISE ROAD</t>
        </is>
      </c>
      <c r="AW203" t="n">
        <v>68</v>
      </c>
      <c r="AX203" s="4" t="n"/>
    </row>
    <row r="204">
      <c r="A204" s="305" t="inlineStr">
        <is>
          <t>MICRONESIA</t>
        </is>
      </c>
      <c r="B204" s="306" t="n">
        <v>115</v>
      </c>
      <c r="M204" s="3" t="n">
        <v>90207</v>
      </c>
      <c r="N204" t="inlineStr">
        <is>
          <t>IKUTHA</t>
        </is>
      </c>
      <c r="R204" s="3" t="inlineStr">
        <is>
          <t>10222</t>
        </is>
      </c>
      <c r="Z204">
        <f>CONCATENATE("Local",AA204)</f>
        <v/>
      </c>
      <c r="AA204" s="323" t="n">
        <v>187</v>
      </c>
      <c r="AB204" s="323" t="inlineStr">
        <is>
          <t>Eldoret West District</t>
        </is>
      </c>
      <c r="AC204" s="323" t="n">
        <v>44</v>
      </c>
      <c r="AE204" s="324" t="n">
        <v>235</v>
      </c>
      <c r="AF204" s="324" t="inlineStr">
        <is>
          <t>Kiriaini</t>
        </is>
      </c>
      <c r="AG204" s="324" t="n">
        <v>60</v>
      </c>
      <c r="AU204" t="n">
        <v>456</v>
      </c>
      <c r="AV204" t="inlineStr">
        <is>
          <t>EQUITY BANK CORPORATE</t>
        </is>
      </c>
      <c r="AW204" t="n">
        <v>68</v>
      </c>
      <c r="AX204" s="4" t="n"/>
    </row>
    <row r="205">
      <c r="A205" s="305" t="inlineStr">
        <is>
          <t>MOLDOVA</t>
        </is>
      </c>
      <c r="B205" s="306" t="n">
        <v>116</v>
      </c>
      <c r="M205" s="3" t="n">
        <v>60405</v>
      </c>
      <c r="N205" t="inlineStr">
        <is>
          <t>IKUU</t>
        </is>
      </c>
      <c r="R205" s="3" t="inlineStr">
        <is>
          <t>10223</t>
        </is>
      </c>
      <c r="Z205">
        <f>CONCATENATE("Local",AA205)</f>
        <v/>
      </c>
      <c r="AA205" s="323" t="n">
        <v>188</v>
      </c>
      <c r="AB205" s="323" t="inlineStr">
        <is>
          <t>Wareng District</t>
        </is>
      </c>
      <c r="AC205" s="323" t="n">
        <v>44</v>
      </c>
      <c r="AE205" s="324" t="n">
        <v>245</v>
      </c>
      <c r="AF205" s="324" t="inlineStr">
        <is>
          <t>Kivaa</t>
        </is>
      </c>
      <c r="AG205" s="324" t="n">
        <v>60</v>
      </c>
      <c r="AU205" t="n">
        <v>457</v>
      </c>
      <c r="AV205" t="inlineStr">
        <is>
          <t>EQUITY BANK FOURWAYS</t>
        </is>
      </c>
      <c r="AW205" t="n">
        <v>68</v>
      </c>
      <c r="AX205" s="4" t="n"/>
    </row>
    <row r="206">
      <c r="A206" s="305" t="inlineStr">
        <is>
          <t>MONACO</t>
        </is>
      </c>
      <c r="B206" s="306" t="n">
        <v>117</v>
      </c>
      <c r="M206" s="3" t="inlineStr">
        <is>
          <t>00214</t>
        </is>
      </c>
      <c r="N206" t="inlineStr">
        <is>
          <t>ILASIT</t>
        </is>
      </c>
      <c r="R206" s="3" t="inlineStr">
        <is>
          <t>10224</t>
        </is>
      </c>
      <c r="Z206">
        <f>CONCATENATE("Local",AA206)</f>
        <v/>
      </c>
      <c r="AA206" s="323" t="n">
        <v>210</v>
      </c>
      <c r="AB206" s="323" t="inlineStr">
        <is>
          <t>Emuhaya District</t>
        </is>
      </c>
      <c r="AC206" s="323" t="n">
        <v>45</v>
      </c>
      <c r="AE206" s="324" t="n">
        <v>334</v>
      </c>
      <c r="AF206" s="324" t="inlineStr">
        <is>
          <t>Masinga</t>
        </is>
      </c>
      <c r="AG206" s="324" t="n">
        <v>60</v>
      </c>
      <c r="AU206" t="n">
        <v>455</v>
      </c>
      <c r="AV206" t="inlineStr">
        <is>
          <t>EQUITY BANK HEAD OFFICE</t>
        </is>
      </c>
      <c r="AW206" t="n">
        <v>68</v>
      </c>
      <c r="AX206" s="4" t="n"/>
    </row>
    <row r="207">
      <c r="A207" s="305" t="inlineStr">
        <is>
          <t>MONGOLIA</t>
        </is>
      </c>
      <c r="B207" s="306" t="n">
        <v>118</v>
      </c>
      <c r="M207" s="3" t="n">
        <v>50111</v>
      </c>
      <c r="N207" t="inlineStr">
        <is>
          <t>ILEHO</t>
        </is>
      </c>
      <c r="R207" s="3" t="inlineStr">
        <is>
          <t>10225</t>
        </is>
      </c>
      <c r="Z207">
        <f>CONCATENATE("Local",AA207)</f>
        <v/>
      </c>
      <c r="AA207" s="323" t="n">
        <v>211</v>
      </c>
      <c r="AB207" s="323" t="inlineStr">
        <is>
          <t>Hamisi District</t>
        </is>
      </c>
      <c r="AC207" s="323" t="n">
        <v>45</v>
      </c>
      <c r="AE207" s="324" t="n">
        <v>551</v>
      </c>
      <c r="AF207" s="324" t="inlineStr">
        <is>
          <t>Kangundo</t>
        </is>
      </c>
      <c r="AG207" s="324" t="n">
        <v>61</v>
      </c>
      <c r="AU207" t="n">
        <v>506</v>
      </c>
      <c r="AV207" t="inlineStr">
        <is>
          <t>EQUITY CENTRE</t>
        </is>
      </c>
      <c r="AW207" t="n">
        <v>68</v>
      </c>
      <c r="AX207" s="4" t="n"/>
    </row>
    <row r="208">
      <c r="A208" s="305" t="inlineStr">
        <is>
          <t>MONTENEGRO</t>
        </is>
      </c>
      <c r="B208" s="306" t="n">
        <v>119</v>
      </c>
      <c r="M208" s="3" t="n">
        <v>50112</v>
      </c>
      <c r="N208" t="inlineStr">
        <is>
          <t>IMANGA</t>
        </is>
      </c>
      <c r="R208" s="3" t="inlineStr">
        <is>
          <t>10226</t>
        </is>
      </c>
      <c r="Z208">
        <f>CONCATENATE("Local",AA208)</f>
        <v/>
      </c>
      <c r="AA208" s="323" t="n">
        <v>212</v>
      </c>
      <c r="AB208" s="323" t="inlineStr">
        <is>
          <t>Vihiga District</t>
        </is>
      </c>
      <c r="AC208" s="323" t="n">
        <v>45</v>
      </c>
      <c r="AE208" s="324" t="n">
        <v>552</v>
      </c>
      <c r="AF208" s="324" t="inlineStr">
        <is>
          <t>Kathiani</t>
        </is>
      </c>
      <c r="AG208" s="324" t="n">
        <v>62</v>
      </c>
      <c r="AU208" t="n">
        <v>491</v>
      </c>
      <c r="AV208" t="inlineStr">
        <is>
          <t>GATUNDU</t>
        </is>
      </c>
      <c r="AW208" t="n">
        <v>68</v>
      </c>
      <c r="AX208" s="4" t="n"/>
    </row>
    <row r="209">
      <c r="A209" s="305" t="inlineStr">
        <is>
          <t>MOROCCO</t>
        </is>
      </c>
      <c r="B209" s="306" t="n">
        <v>120</v>
      </c>
      <c r="M209" s="3" t="n">
        <v>50113</v>
      </c>
      <c r="N209" t="inlineStr">
        <is>
          <t>INDECHERO</t>
        </is>
      </c>
      <c r="R209" s="3" t="inlineStr">
        <is>
          <t>10227</t>
        </is>
      </c>
      <c r="Z209">
        <f>CONCATENATE("Local",AA209)</f>
        <v/>
      </c>
      <c r="AA209" s="323" t="n">
        <v>102</v>
      </c>
      <c r="AB209" s="323" t="inlineStr">
        <is>
          <t>Wajir East District</t>
        </is>
      </c>
      <c r="AC209" s="323" t="n">
        <v>46</v>
      </c>
      <c r="AE209" s="324" t="n">
        <v>553</v>
      </c>
      <c r="AF209" s="324" t="inlineStr">
        <is>
          <t>Machakos</t>
        </is>
      </c>
      <c r="AG209" s="324" t="n">
        <v>63</v>
      </c>
      <c r="AU209" t="n">
        <v>502</v>
      </c>
      <c r="AV209" t="inlineStr">
        <is>
          <t>GILGIL</t>
        </is>
      </c>
      <c r="AW209" t="n">
        <v>68</v>
      </c>
      <c r="AX209" s="4" t="n"/>
    </row>
    <row r="210">
      <c r="A210" s="305" t="inlineStr">
        <is>
          <t>MOZAMBIQUE</t>
        </is>
      </c>
      <c r="B210" s="306" t="n">
        <v>121</v>
      </c>
      <c r="M210" s="3" t="n">
        <v>80310</v>
      </c>
      <c r="N210" t="inlineStr">
        <is>
          <t>IRIWA</t>
        </is>
      </c>
      <c r="R210" s="3" t="inlineStr">
        <is>
          <t>10228</t>
        </is>
      </c>
      <c r="Z210">
        <f>CONCATENATE("Local",AA210)</f>
        <v/>
      </c>
      <c r="AA210" s="323" t="n">
        <v>103</v>
      </c>
      <c r="AB210" s="323" t="inlineStr">
        <is>
          <t>Wajir North District</t>
        </is>
      </c>
      <c r="AC210" s="323" t="n">
        <v>46</v>
      </c>
      <c r="AE210" s="324" t="n">
        <v>387</v>
      </c>
      <c r="AF210" s="324" t="inlineStr">
        <is>
          <t>Mwakitau</t>
        </is>
      </c>
      <c r="AG210" s="324" t="n">
        <v>64</v>
      </c>
      <c r="AU210" t="n">
        <v>496</v>
      </c>
      <c r="AV210" t="inlineStr">
        <is>
          <t>GITHURAI</t>
        </is>
      </c>
      <c r="AW210" t="n">
        <v>68</v>
      </c>
      <c r="AX210" s="4" t="n"/>
    </row>
    <row r="211">
      <c r="A211" s="305" t="inlineStr">
        <is>
          <t>MYANMAR (BURMA)</t>
        </is>
      </c>
      <c r="B211" s="306" t="n">
        <v>122</v>
      </c>
      <c r="M211" s="3" t="n">
        <v>60102</v>
      </c>
      <c r="N211" t="inlineStr">
        <is>
          <t>ISHIARA</t>
        </is>
      </c>
      <c r="R211" s="3" t="inlineStr">
        <is>
          <t>10229</t>
        </is>
      </c>
      <c r="Z211">
        <f>CONCATENATE("Local",AA211)</f>
        <v/>
      </c>
      <c r="AA211" s="323" t="n">
        <v>104</v>
      </c>
      <c r="AB211" s="323" t="inlineStr">
        <is>
          <t>Wajir South District</t>
        </is>
      </c>
      <c r="AC211" s="323" t="n">
        <v>46</v>
      </c>
      <c r="AE211" s="324" t="n">
        <v>388</v>
      </c>
      <c r="AF211" s="324" t="inlineStr">
        <is>
          <t>Mwatate</t>
        </is>
      </c>
      <c r="AG211" s="324" t="n">
        <v>64</v>
      </c>
      <c r="AU211" t="n">
        <v>478</v>
      </c>
      <c r="AV211" t="inlineStr">
        <is>
          <t>HARAMBEE AVENU</t>
        </is>
      </c>
      <c r="AW211" t="n">
        <v>68</v>
      </c>
      <c r="AX211" s="4" t="n"/>
    </row>
    <row r="212">
      <c r="A212" s="305" t="inlineStr">
        <is>
          <t>NAMIBIA</t>
        </is>
      </c>
      <c r="B212" s="306" t="n">
        <v>123</v>
      </c>
      <c r="M212" s="3" t="n">
        <v>40414</v>
      </c>
      <c r="N212" t="inlineStr">
        <is>
          <t>ISIBANIA</t>
        </is>
      </c>
      <c r="R212" s="3" t="inlineStr">
        <is>
          <t>10230</t>
        </is>
      </c>
      <c r="Z212">
        <f>CONCATENATE("Local",AA212)</f>
        <v/>
      </c>
      <c r="AA212" s="323" t="n">
        <v>105</v>
      </c>
      <c r="AB212" s="323" t="inlineStr">
        <is>
          <t>Wajir West District</t>
        </is>
      </c>
      <c r="AC212" s="323" t="n">
        <v>46</v>
      </c>
      <c r="AE212" s="324" t="n">
        <v>391</v>
      </c>
      <c r="AF212" s="324" t="inlineStr">
        <is>
          <t>Mwingi</t>
        </is>
      </c>
      <c r="AG212" s="324" t="n">
        <v>64</v>
      </c>
      <c r="AU212" t="n">
        <v>511</v>
      </c>
      <c r="AV212" t="inlineStr">
        <is>
          <t>KAJIADO</t>
        </is>
      </c>
      <c r="AW212" t="n">
        <v>68</v>
      </c>
      <c r="AX212" s="4" t="n"/>
    </row>
    <row r="213">
      <c r="A213" s="305" t="inlineStr">
        <is>
          <t>NAURU</t>
        </is>
      </c>
      <c r="B213" s="306" t="n">
        <v>124</v>
      </c>
      <c r="M213" s="3" t="inlineStr">
        <is>
          <t>01102</t>
        </is>
      </c>
      <c r="N213" t="inlineStr">
        <is>
          <t>ISINYA</t>
        </is>
      </c>
      <c r="R213" s="3" t="inlineStr">
        <is>
          <t>10300</t>
        </is>
      </c>
      <c r="Z213">
        <f>CONCATENATE("Local",AA213)</f>
        <v/>
      </c>
      <c r="AA213" s="323" t="n">
        <v>189</v>
      </c>
      <c r="AB213" s="323" t="inlineStr">
        <is>
          <t>North Pokot District</t>
        </is>
      </c>
      <c r="AC213" s="323" t="n">
        <v>47</v>
      </c>
      <c r="AE213" s="324" t="n">
        <v>420</v>
      </c>
      <c r="AF213" s="324" t="inlineStr">
        <is>
          <t>Ngambwa</t>
        </is>
      </c>
      <c r="AG213" s="324" t="n">
        <v>64</v>
      </c>
      <c r="AU213" t="n">
        <v>462</v>
      </c>
      <c r="AV213" t="inlineStr">
        <is>
          <t>KANGARI</t>
        </is>
      </c>
      <c r="AW213" t="n">
        <v>68</v>
      </c>
      <c r="AX213" s="4" t="n"/>
    </row>
    <row r="214">
      <c r="A214" s="305" t="inlineStr">
        <is>
          <t>NEPAL</t>
        </is>
      </c>
      <c r="B214" s="306" t="n">
        <v>125</v>
      </c>
      <c r="M214" s="3" t="n">
        <v>60300</v>
      </c>
      <c r="N214" t="inlineStr">
        <is>
          <t>ISIOLO</t>
        </is>
      </c>
      <c r="R214" s="3" t="inlineStr">
        <is>
          <t>10301</t>
        </is>
      </c>
      <c r="Z214">
        <f>CONCATENATE("Local",AA214)</f>
        <v/>
      </c>
      <c r="AA214" s="323" t="n">
        <v>190</v>
      </c>
      <c r="AB214" s="323" t="inlineStr">
        <is>
          <t>Pokot Central District</t>
        </is>
      </c>
      <c r="AC214" s="323" t="n">
        <v>47</v>
      </c>
      <c r="AE214" s="324" t="n">
        <v>422</v>
      </c>
      <c r="AF214" s="324" t="inlineStr">
        <is>
          <t>Ngomeni</t>
        </is>
      </c>
      <c r="AG214" s="324" t="n">
        <v>64</v>
      </c>
      <c r="AU214" t="n">
        <v>458</v>
      </c>
      <c r="AV214" t="inlineStr">
        <is>
          <t>KANGEMA</t>
        </is>
      </c>
      <c r="AW214" t="n">
        <v>68</v>
      </c>
      <c r="AX214" s="4" t="n"/>
    </row>
    <row r="215">
      <c r="A215" s="305" t="inlineStr">
        <is>
          <t>NETHERLANDS</t>
        </is>
      </c>
      <c r="B215" s="306" t="n">
        <v>126</v>
      </c>
      <c r="M215" s="3" t="n">
        <v>50114</v>
      </c>
      <c r="N215" t="inlineStr">
        <is>
          <t>ISULU</t>
        </is>
      </c>
      <c r="R215" s="3" t="inlineStr">
        <is>
          <t>10302</t>
        </is>
      </c>
      <c r="Z215">
        <f>CONCATENATE("Local",AA215)</f>
        <v/>
      </c>
      <c r="AA215" s="323" t="n">
        <v>191</v>
      </c>
      <c r="AB215" s="323" t="inlineStr">
        <is>
          <t>West Pokot District</t>
        </is>
      </c>
      <c r="AC215" s="323" t="n">
        <v>47</v>
      </c>
      <c r="AE215" s="324" t="n">
        <v>425</v>
      </c>
      <c r="AF215" s="324" t="inlineStr">
        <is>
          <t>Nguni</t>
        </is>
      </c>
      <c r="AG215" s="324" t="n">
        <v>64</v>
      </c>
      <c r="AU215" t="n">
        <v>459</v>
      </c>
      <c r="AV215" t="inlineStr">
        <is>
          <t>KARATINA</t>
        </is>
      </c>
      <c r="AW215" t="n">
        <v>68</v>
      </c>
      <c r="AX215" s="4" t="n"/>
    </row>
    <row r="216">
      <c r="A216" s="305" t="inlineStr">
        <is>
          <t>NEW ZEALAND</t>
        </is>
      </c>
      <c r="B216" s="306" t="n">
        <v>127</v>
      </c>
      <c r="M216" s="3" t="n">
        <v>30700</v>
      </c>
      <c r="N216" t="inlineStr">
        <is>
          <t>ITEN</t>
        </is>
      </c>
      <c r="R216" s="3" t="inlineStr">
        <is>
          <t>10303</t>
        </is>
      </c>
      <c r="AE216" s="324" t="n">
        <v>426</v>
      </c>
      <c r="AF216" s="324" t="inlineStr">
        <is>
          <t>Ngutani</t>
        </is>
      </c>
      <c r="AG216" s="324" t="n">
        <v>64</v>
      </c>
      <c r="AU216" t="n">
        <v>482</v>
      </c>
      <c r="AV216" t="inlineStr">
        <is>
          <t>KARIOBANGI</t>
        </is>
      </c>
      <c r="AW216" t="n">
        <v>68</v>
      </c>
      <c r="AX216" s="4" t="n"/>
    </row>
    <row r="217">
      <c r="A217" s="305" t="inlineStr">
        <is>
          <t>NICARAGUA</t>
        </is>
      </c>
      <c r="B217" s="306" t="n">
        <v>128</v>
      </c>
      <c r="M217" s="3" t="inlineStr">
        <is>
          <t>01015</t>
        </is>
      </c>
      <c r="N217" t="inlineStr">
        <is>
          <t>ITHANGA</t>
        </is>
      </c>
      <c r="R217" s="3" t="inlineStr">
        <is>
          <t>10304</t>
        </is>
      </c>
      <c r="AE217" s="324" t="n">
        <v>430</v>
      </c>
      <c r="AF217" s="324" t="inlineStr">
        <is>
          <t>Nuu</t>
        </is>
      </c>
      <c r="AG217" s="324" t="n">
        <v>64</v>
      </c>
      <c r="AU217" t="n">
        <v>488</v>
      </c>
      <c r="AV217" t="inlineStr">
        <is>
          <t>KAWANGWARE</t>
        </is>
      </c>
      <c r="AW217" t="n">
        <v>68</v>
      </c>
      <c r="AX217" s="4" t="n"/>
    </row>
    <row r="218">
      <c r="A218" s="305" t="inlineStr">
        <is>
          <t>NIGER</t>
        </is>
      </c>
      <c r="B218" s="306" t="n">
        <v>129</v>
      </c>
      <c r="M218" s="3" t="n">
        <v>40504</v>
      </c>
      <c r="N218" t="inlineStr">
        <is>
          <t>ITIBO</t>
        </is>
      </c>
      <c r="R218" s="3" t="inlineStr">
        <is>
          <t>10305</t>
        </is>
      </c>
      <c r="AE218" s="324" t="n">
        <v>500</v>
      </c>
      <c r="AF218" s="324" t="inlineStr">
        <is>
          <t>Ukasi</t>
        </is>
      </c>
      <c r="AG218" s="324" t="n">
        <v>64</v>
      </c>
      <c r="AU218" t="n">
        <v>490</v>
      </c>
      <c r="AV218" t="inlineStr">
        <is>
          <t>KAYOLE</t>
        </is>
      </c>
      <c r="AW218" t="n">
        <v>68</v>
      </c>
      <c r="AX218" s="4" t="n"/>
    </row>
    <row r="219">
      <c r="A219" s="305" t="inlineStr">
        <is>
          <t>NIGERIA</t>
        </is>
      </c>
      <c r="B219" s="306" t="n">
        <v>130</v>
      </c>
      <c r="M219" s="3" t="n">
        <v>40210</v>
      </c>
      <c r="N219" t="inlineStr">
        <is>
          <t>ITUMBE</t>
        </is>
      </c>
      <c r="R219" s="3" t="inlineStr">
        <is>
          <t>10306</t>
        </is>
      </c>
      <c r="AE219" s="324" t="n">
        <v>243</v>
      </c>
      <c r="AF219" s="324" t="inlineStr">
        <is>
          <t>Kithimani</t>
        </is>
      </c>
      <c r="AG219" s="324" t="n">
        <v>65</v>
      </c>
      <c r="AU219" t="n">
        <v>465</v>
      </c>
      <c r="AV219" t="inlineStr">
        <is>
          <t>KERUGOYA</t>
        </is>
      </c>
      <c r="AW219" t="n">
        <v>68</v>
      </c>
      <c r="AX219" s="4" t="n"/>
    </row>
    <row r="220">
      <c r="A220" s="305" t="inlineStr">
        <is>
          <t>NORWAY</t>
        </is>
      </c>
      <c r="B220" s="306" t="n">
        <v>131</v>
      </c>
      <c r="M220" s="3" t="inlineStr">
        <is>
          <t>00101</t>
        </is>
      </c>
      <c r="N220" t="inlineStr">
        <is>
          <t>JAMIA MOSQUE</t>
        </is>
      </c>
      <c r="R220" s="3" t="inlineStr">
        <is>
          <t>10307</t>
        </is>
      </c>
      <c r="AE220" s="324" t="n">
        <v>480</v>
      </c>
      <c r="AF220" s="324" t="inlineStr">
        <is>
          <t>Sofia</t>
        </is>
      </c>
      <c r="AG220" s="324" t="n">
        <v>65</v>
      </c>
      <c r="AU220" t="n">
        <v>489</v>
      </c>
      <c r="AV220" t="inlineStr">
        <is>
          <t>KIAMBU</t>
        </is>
      </c>
      <c r="AW220" t="n">
        <v>68</v>
      </c>
      <c r="AX220" s="4" t="n"/>
    </row>
    <row r="221">
      <c r="A221" s="305" t="inlineStr">
        <is>
          <t>OMAN</t>
        </is>
      </c>
      <c r="B221" s="306" t="n">
        <v>132</v>
      </c>
      <c r="M221" s="3" t="n">
        <v>50319</v>
      </c>
      <c r="N221" t="inlineStr">
        <is>
          <t>JEBROK</t>
        </is>
      </c>
      <c r="R221" s="3" t="inlineStr">
        <is>
          <t>10308</t>
        </is>
      </c>
      <c r="AE221" s="324" t="n">
        <v>554</v>
      </c>
      <c r="AF221" s="324" t="inlineStr">
        <is>
          <t>Kathonzweni</t>
        </is>
      </c>
      <c r="AG221" s="324" t="n">
        <v>66</v>
      </c>
      <c r="AU221" t="n">
        <v>480</v>
      </c>
      <c r="AV221" t="inlineStr">
        <is>
          <t>KIMATHI STREET</t>
        </is>
      </c>
      <c r="AW221" t="n">
        <v>68</v>
      </c>
      <c r="AX221" s="4" t="n"/>
    </row>
    <row r="222">
      <c r="A222" s="305" t="inlineStr">
        <is>
          <t>PAKISTAN</t>
        </is>
      </c>
      <c r="B222" s="306" t="n">
        <v>133</v>
      </c>
      <c r="M222" s="3" t="inlineStr">
        <is>
          <t>00622</t>
        </is>
      </c>
      <c r="N222" t="inlineStr">
        <is>
          <t>JUJA ROAD</t>
        </is>
      </c>
      <c r="R222" s="3" t="inlineStr">
        <is>
          <t>10309</t>
        </is>
      </c>
      <c r="AE222" s="324" t="n">
        <v>555</v>
      </c>
      <c r="AF222" s="324" t="inlineStr">
        <is>
          <t>Kibwezi</t>
        </is>
      </c>
      <c r="AG222" s="324" t="n">
        <v>67</v>
      </c>
      <c r="AU222" t="n">
        <v>460</v>
      </c>
      <c r="AV222" t="inlineStr">
        <is>
          <t>KIRIAINI</t>
        </is>
      </c>
      <c r="AW222" t="n">
        <v>68</v>
      </c>
      <c r="AX222" s="4" t="n"/>
    </row>
    <row r="223">
      <c r="A223" s="305" t="inlineStr">
        <is>
          <t>PALAU</t>
        </is>
      </c>
      <c r="B223" s="306" t="n">
        <v>134</v>
      </c>
      <c r="M223" s="3" t="inlineStr">
        <is>
          <t>00203</t>
        </is>
      </c>
      <c r="N223" t="inlineStr">
        <is>
          <t>K.I.C.C</t>
        </is>
      </c>
      <c r="R223" s="3" t="inlineStr">
        <is>
          <t>10310</t>
        </is>
      </c>
      <c r="AE223" s="324" t="n">
        <v>556</v>
      </c>
      <c r="AF223" s="324" t="inlineStr">
        <is>
          <t>Kilungu</t>
        </is>
      </c>
      <c r="AG223" s="324" t="n">
        <v>68</v>
      </c>
      <c r="AU223" t="n">
        <v>495</v>
      </c>
      <c r="AV223" t="inlineStr">
        <is>
          <t>KITENGELA</t>
        </is>
      </c>
      <c r="AW223" t="n">
        <v>68</v>
      </c>
      <c r="AX223" s="4" t="n"/>
    </row>
    <row r="224">
      <c r="A224" s="305" t="inlineStr">
        <is>
          <t>PANAMA</t>
        </is>
      </c>
      <c r="B224" s="306" t="n">
        <v>135</v>
      </c>
      <c r="M224" s="3" t="n">
        <v>30400</v>
      </c>
      <c r="N224" t="inlineStr">
        <is>
          <t>KABARNET</t>
        </is>
      </c>
      <c r="R224" s="3" t="inlineStr">
        <is>
          <t>10400</t>
        </is>
      </c>
      <c r="AE224" s="324" t="n">
        <v>557</v>
      </c>
      <c r="AF224" s="324" t="inlineStr">
        <is>
          <t>Makueni</t>
        </is>
      </c>
      <c r="AG224" s="324" t="n">
        <v>69</v>
      </c>
      <c r="AU224" t="n">
        <v>497</v>
      </c>
      <c r="AV224" t="inlineStr">
        <is>
          <t>KITUI</t>
        </is>
      </c>
      <c r="AW224" t="n">
        <v>68</v>
      </c>
      <c r="AX224" s="4" t="n"/>
    </row>
    <row r="225">
      <c r="A225" s="305" t="inlineStr">
        <is>
          <t>PAPUA NEW GUINEA</t>
        </is>
      </c>
      <c r="B225" s="306" t="n">
        <v>136</v>
      </c>
      <c r="M225" s="3" t="n">
        <v>30401</v>
      </c>
      <c r="N225" t="inlineStr">
        <is>
          <t>KABARTONJO</t>
        </is>
      </c>
      <c r="R225" s="3" t="inlineStr">
        <is>
          <t>10401</t>
        </is>
      </c>
      <c r="AE225" s="324" t="n">
        <v>558</v>
      </c>
      <c r="AF225" s="324" t="inlineStr">
        <is>
          <t>Mbooni East</t>
        </is>
      </c>
      <c r="AG225" s="324" t="n">
        <v>70</v>
      </c>
      <c r="AU225" t="n">
        <v>494</v>
      </c>
      <c r="AV225" t="inlineStr">
        <is>
          <t>LIMURU</t>
        </is>
      </c>
      <c r="AW225" t="n">
        <v>68</v>
      </c>
      <c r="AX225" s="4" t="n"/>
    </row>
    <row r="226">
      <c r="A226" s="305" t="inlineStr">
        <is>
          <t>PARAGUAY</t>
        </is>
      </c>
      <c r="B226" s="306" t="n">
        <v>137</v>
      </c>
      <c r="M226" s="3" t="n">
        <v>90205</v>
      </c>
      <c r="N226" t="inlineStr">
        <is>
          <t>KABATI</t>
        </is>
      </c>
      <c r="R226" s="3" t="inlineStr">
        <is>
          <t>10402</t>
        </is>
      </c>
      <c r="AE226" s="324" t="n">
        <v>559</v>
      </c>
      <c r="AF226" s="324" t="inlineStr">
        <is>
          <t>Mbooni West</t>
        </is>
      </c>
      <c r="AG226" s="324" t="n">
        <v>71</v>
      </c>
      <c r="AU226" t="n">
        <v>499</v>
      </c>
      <c r="AV226" t="inlineStr">
        <is>
          <t>LOITOKTOK</t>
        </is>
      </c>
      <c r="AW226" t="n">
        <v>68</v>
      </c>
      <c r="AX226" s="4" t="n"/>
    </row>
    <row r="227">
      <c r="A227" s="305" t="inlineStr">
        <is>
          <t>PERU</t>
        </is>
      </c>
      <c r="B227" s="306" t="n">
        <v>138</v>
      </c>
      <c r="M227" s="3" t="n">
        <v>20120</v>
      </c>
      <c r="N227" t="inlineStr">
        <is>
          <t>KABATINI</t>
        </is>
      </c>
      <c r="R227" s="3" t="inlineStr">
        <is>
          <t>20100</t>
        </is>
      </c>
      <c r="AE227" s="324" t="n">
        <v>560</v>
      </c>
      <c r="AF227" s="324" t="inlineStr">
        <is>
          <t>Mukaa</t>
        </is>
      </c>
      <c r="AG227" s="324" t="n">
        <v>72</v>
      </c>
      <c r="AU227" t="n">
        <v>485</v>
      </c>
      <c r="AV227" t="inlineStr">
        <is>
          <t>MACHAKOS</t>
        </is>
      </c>
      <c r="AW227" t="n">
        <v>68</v>
      </c>
      <c r="AX227" s="4" t="n"/>
    </row>
    <row r="228">
      <c r="A228" s="305" t="inlineStr">
        <is>
          <t>PHILIPPINES</t>
        </is>
      </c>
      <c r="B228" s="306" t="n">
        <v>139</v>
      </c>
      <c r="M228" s="3" t="n">
        <v>20114</v>
      </c>
      <c r="N228" t="inlineStr">
        <is>
          <t>KABAZI</t>
        </is>
      </c>
      <c r="R228" s="3" t="inlineStr">
        <is>
          <t>20101</t>
        </is>
      </c>
      <c r="AE228" s="324" t="n">
        <v>561</v>
      </c>
      <c r="AF228" s="324" t="inlineStr">
        <is>
          <t>Nzaui</t>
        </is>
      </c>
      <c r="AG228" s="324" t="n">
        <v>73</v>
      </c>
      <c r="AU228" t="n">
        <v>470</v>
      </c>
      <c r="AV228" t="inlineStr">
        <is>
          <t>MAMA NGINA</t>
        </is>
      </c>
      <c r="AW228" t="n">
        <v>68</v>
      </c>
      <c r="AX228" s="4" t="n"/>
    </row>
    <row r="229">
      <c r="A229" s="305" t="inlineStr">
        <is>
          <t>POLAND</t>
        </is>
      </c>
      <c r="B229" s="306" t="n">
        <v>140</v>
      </c>
      <c r="M229" s="3" t="inlineStr">
        <is>
          <t>00602</t>
        </is>
      </c>
      <c r="N229" t="inlineStr">
        <is>
          <t>KABETE</t>
        </is>
      </c>
      <c r="R229" s="3" t="inlineStr">
        <is>
          <t>20102</t>
        </is>
      </c>
      <c r="AE229" s="324" t="n">
        <v>562</v>
      </c>
      <c r="AF229" s="324" t="inlineStr">
        <is>
          <t>Marsabit</t>
        </is>
      </c>
      <c r="AG229" s="324" t="n">
        <v>74</v>
      </c>
      <c r="AU229" t="n">
        <v>501</v>
      </c>
      <c r="AV229" t="inlineStr">
        <is>
          <t>MBITA POINT</t>
        </is>
      </c>
      <c r="AW229" t="n">
        <v>68</v>
      </c>
      <c r="AX229" s="4" t="n"/>
    </row>
    <row r="230">
      <c r="A230" s="305" t="inlineStr">
        <is>
          <t>PORTUGAL</t>
        </is>
      </c>
      <c r="B230" s="306" t="n">
        <v>141</v>
      </c>
      <c r="M230" s="3" t="n">
        <v>20201</v>
      </c>
      <c r="N230" t="inlineStr">
        <is>
          <t>KABIANGA</t>
        </is>
      </c>
      <c r="R230" s="3" t="inlineStr">
        <is>
          <t>20103</t>
        </is>
      </c>
      <c r="AE230" s="324" t="n">
        <v>563</v>
      </c>
      <c r="AF230" s="324" t="inlineStr">
        <is>
          <t>Marsabit North</t>
        </is>
      </c>
      <c r="AG230" s="324" t="n">
        <v>75</v>
      </c>
      <c r="AU230" t="n">
        <v>469</v>
      </c>
      <c r="AV230" t="inlineStr">
        <is>
          <t>MERU</t>
        </is>
      </c>
      <c r="AW230" t="n">
        <v>68</v>
      </c>
      <c r="AX230" s="4" t="n"/>
    </row>
    <row r="231">
      <c r="A231" s="305" t="inlineStr">
        <is>
          <t>QATAR</t>
        </is>
      </c>
      <c r="B231" s="306" t="n">
        <v>142</v>
      </c>
      <c r="M231" s="3" t="n">
        <v>30130</v>
      </c>
      <c r="N231" t="inlineStr">
        <is>
          <t>KABIEMIT</t>
        </is>
      </c>
      <c r="R231" s="3" t="inlineStr">
        <is>
          <t>20104</t>
        </is>
      </c>
      <c r="AE231" s="324" t="n">
        <v>564</v>
      </c>
      <c r="AF231" s="324" t="inlineStr">
        <is>
          <t>Marsabit South</t>
        </is>
      </c>
      <c r="AG231" s="324" t="n">
        <v>76</v>
      </c>
      <c r="AU231" t="n">
        <v>477</v>
      </c>
      <c r="AV231" t="inlineStr">
        <is>
          <t>MOLO</t>
        </is>
      </c>
      <c r="AW231" t="n">
        <v>68</v>
      </c>
      <c r="AX231" s="4" t="n"/>
    </row>
    <row r="232">
      <c r="A232" s="305" t="inlineStr">
        <is>
          <t>ROMANIA</t>
        </is>
      </c>
      <c r="B232" s="306" t="n">
        <v>143</v>
      </c>
      <c r="M232" s="3" t="n">
        <v>20139</v>
      </c>
      <c r="N232" t="inlineStr">
        <is>
          <t>KABIMOI</t>
        </is>
      </c>
      <c r="R232" s="3" t="inlineStr">
        <is>
          <t>20105</t>
        </is>
      </c>
      <c r="AE232" s="324" t="n">
        <v>565</v>
      </c>
      <c r="AF232" s="324" t="inlineStr">
        <is>
          <t>Moyale</t>
        </is>
      </c>
      <c r="AG232" s="324" t="n">
        <v>77</v>
      </c>
      <c r="AU232" t="n">
        <v>479</v>
      </c>
      <c r="AV232" t="inlineStr">
        <is>
          <t>MOMBASA</t>
        </is>
      </c>
      <c r="AW232" t="n">
        <v>68</v>
      </c>
      <c r="AX232" s="4" t="n"/>
    </row>
    <row r="233">
      <c r="A233" s="305" t="inlineStr">
        <is>
          <t>RUSSIA</t>
        </is>
      </c>
      <c r="B233" s="306" t="n">
        <v>144</v>
      </c>
      <c r="M233" s="3" t="n">
        <v>30303</v>
      </c>
      <c r="N233" t="inlineStr">
        <is>
          <t>KABIYET</t>
        </is>
      </c>
      <c r="R233" s="3" t="inlineStr">
        <is>
          <t>20106</t>
        </is>
      </c>
      <c r="AE233" s="324" t="n">
        <v>566</v>
      </c>
      <c r="AF233" s="324" t="inlineStr">
        <is>
          <t>Maara</t>
        </is>
      </c>
      <c r="AG233" s="324" t="n">
        <v>78</v>
      </c>
      <c r="AU233" t="n">
        <v>508</v>
      </c>
      <c r="AV233" t="inlineStr">
        <is>
          <t>MUKURWE-INI</t>
        </is>
      </c>
      <c r="AW233" t="n">
        <v>68</v>
      </c>
      <c r="AX233" s="4" t="n"/>
    </row>
    <row r="234">
      <c r="A234" s="305" t="inlineStr">
        <is>
          <t>RWANDA</t>
        </is>
      </c>
      <c r="B234" s="306" t="n">
        <v>145</v>
      </c>
      <c r="M234" s="3" t="n">
        <v>20412</v>
      </c>
      <c r="N234" t="inlineStr">
        <is>
          <t>KABOSON</t>
        </is>
      </c>
      <c r="R234" s="3" t="inlineStr">
        <is>
          <t>20107</t>
        </is>
      </c>
      <c r="AE234" s="324" t="n">
        <v>57</v>
      </c>
      <c r="AF234" s="324" t="inlineStr">
        <is>
          <t>Dadaab</t>
        </is>
      </c>
      <c r="AG234" s="324" t="n">
        <v>79</v>
      </c>
      <c r="AU234" t="n">
        <v>493</v>
      </c>
      <c r="AV234" t="inlineStr">
        <is>
          <t>MUMIAS</t>
        </is>
      </c>
      <c r="AW234" t="n">
        <v>68</v>
      </c>
      <c r="AX234" s="4" t="n"/>
    </row>
    <row r="235">
      <c r="A235" s="305" t="inlineStr">
        <is>
          <t>SAINT KITTS AND NEVIS</t>
        </is>
      </c>
      <c r="B235" s="306" t="n">
        <v>146</v>
      </c>
      <c r="M235" s="3" t="n">
        <v>50214</v>
      </c>
      <c r="N235" t="inlineStr">
        <is>
          <t>KABULA</t>
        </is>
      </c>
      <c r="R235" s="3" t="inlineStr">
        <is>
          <t>20108</t>
        </is>
      </c>
      <c r="AE235" s="324" t="n">
        <v>63</v>
      </c>
      <c r="AF235" s="324" t="inlineStr">
        <is>
          <t>Dertu</t>
        </is>
      </c>
      <c r="AG235" s="324" t="n">
        <v>79</v>
      </c>
      <c r="AU235" t="n">
        <v>476</v>
      </c>
      <c r="AV235" t="inlineStr">
        <is>
          <t>MURANGA</t>
        </is>
      </c>
      <c r="AW235" t="n">
        <v>68</v>
      </c>
      <c r="AX235" s="4" t="n"/>
    </row>
    <row r="236">
      <c r="A236" s="305" t="inlineStr">
        <is>
          <t>SAINT LUCIA</t>
        </is>
      </c>
      <c r="B236" s="306" t="n">
        <v>147</v>
      </c>
      <c r="M236" s="3" t="n">
        <v>30601</v>
      </c>
      <c r="N236" t="inlineStr">
        <is>
          <t>KACHELIBA</t>
        </is>
      </c>
      <c r="R236" s="3" t="inlineStr">
        <is>
          <t>20109</t>
        </is>
      </c>
      <c r="AE236" s="324" t="n">
        <v>124</v>
      </c>
      <c r="AF236" s="324" t="inlineStr">
        <is>
          <t>Ifo</t>
        </is>
      </c>
      <c r="AG236" s="324" t="n">
        <v>79</v>
      </c>
      <c r="AU236" t="n">
        <v>461</v>
      </c>
      <c r="AV236" t="inlineStr">
        <is>
          <t>MURARANDI</t>
        </is>
      </c>
      <c r="AW236" t="n">
        <v>68</v>
      </c>
      <c r="AX236" s="4" t="n"/>
    </row>
    <row r="237">
      <c r="A237" s="305" t="inlineStr">
        <is>
          <t>SAINT VINCENT AND THE GRENADINES</t>
        </is>
      </c>
      <c r="B237" s="306" t="n">
        <v>148</v>
      </c>
      <c r="M237" s="3" t="n">
        <v>40314</v>
      </c>
      <c r="N237" t="inlineStr">
        <is>
          <t>KADEL</t>
        </is>
      </c>
      <c r="R237" s="3" t="inlineStr">
        <is>
          <t>20110</t>
        </is>
      </c>
      <c r="AE237" s="324" t="n">
        <v>263</v>
      </c>
      <c r="AF237" s="324" t="inlineStr">
        <is>
          <t>Liboi</t>
        </is>
      </c>
      <c r="AG237" s="324" t="n">
        <v>79</v>
      </c>
      <c r="AU237" t="n">
        <v>474</v>
      </c>
      <c r="AV237" t="inlineStr">
        <is>
          <t>NAIVASHA</t>
        </is>
      </c>
      <c r="AW237" t="n">
        <v>68</v>
      </c>
      <c r="AX237" s="4" t="n"/>
    </row>
    <row r="238">
      <c r="A238" s="305" t="inlineStr">
        <is>
          <t>SAMOA</t>
        </is>
      </c>
      <c r="B238" s="306" t="n">
        <v>149</v>
      </c>
      <c r="M238" s="3" t="n">
        <v>40223</v>
      </c>
      <c r="N238" t="inlineStr">
        <is>
          <t>KADONGO</t>
        </is>
      </c>
      <c r="R238" s="3" t="inlineStr">
        <is>
          <t>20111</t>
        </is>
      </c>
      <c r="AE238" s="324" t="n">
        <v>567</v>
      </c>
      <c r="AF238" s="324" t="inlineStr">
        <is>
          <t>Igembe North</t>
        </is>
      </c>
      <c r="AG238" s="324" t="n">
        <v>80</v>
      </c>
      <c r="AU238" t="n">
        <v>468</v>
      </c>
      <c r="AV238" t="inlineStr">
        <is>
          <t>NAKURU</t>
        </is>
      </c>
      <c r="AW238" t="n">
        <v>68</v>
      </c>
      <c r="AX238" s="4" t="n"/>
    </row>
    <row r="239">
      <c r="A239" s="305" t="inlineStr">
        <is>
          <t>SAN MARINO</t>
        </is>
      </c>
      <c r="B239" s="306" t="n">
        <v>150</v>
      </c>
      <c r="M239" s="3" t="n">
        <v>10119</v>
      </c>
      <c r="N239" t="inlineStr">
        <is>
          <t>KAGICHA</t>
        </is>
      </c>
      <c r="R239" s="3" t="inlineStr">
        <is>
          <t>20112</t>
        </is>
      </c>
      <c r="AE239" s="324" t="n">
        <v>568</v>
      </c>
      <c r="AF239" s="324" t="inlineStr">
        <is>
          <t>Igembe South</t>
        </is>
      </c>
      <c r="AG239" s="324" t="n">
        <v>81</v>
      </c>
      <c r="AU239" t="n">
        <v>510</v>
      </c>
      <c r="AV239" t="inlineStr">
        <is>
          <t>NAMANGA</t>
        </is>
      </c>
      <c r="AW239" t="n">
        <v>68</v>
      </c>
      <c r="AX239" s="4" t="n"/>
    </row>
    <row r="240">
      <c r="A240" s="305" t="inlineStr">
        <is>
          <t>SAO TOME AND PRINCIPE</t>
        </is>
      </c>
      <c r="B240" s="306" t="n">
        <v>151</v>
      </c>
      <c r="M240" s="3" t="n">
        <v>10306</v>
      </c>
      <c r="N240" t="inlineStr">
        <is>
          <t>KAGIO</t>
        </is>
      </c>
      <c r="R240" s="3" t="inlineStr">
        <is>
          <t>20113</t>
        </is>
      </c>
      <c r="AE240" s="324" t="n">
        <v>569</v>
      </c>
      <c r="AF240" s="324" t="inlineStr">
        <is>
          <t>Imenti North</t>
        </is>
      </c>
      <c r="AG240" s="324" t="n">
        <v>82</v>
      </c>
      <c r="AU240" t="n">
        <v>481</v>
      </c>
      <c r="AV240" t="inlineStr">
        <is>
          <t>NANYUKI</t>
        </is>
      </c>
      <c r="AW240" t="n">
        <v>68</v>
      </c>
      <c r="AX240" s="4" t="n"/>
    </row>
    <row r="241">
      <c r="A241" s="305" t="inlineStr">
        <is>
          <t>SAUDI ARABIA</t>
        </is>
      </c>
      <c r="B241" s="306" t="n">
        <v>152</v>
      </c>
      <c r="M241" s="3" t="n">
        <v>10307</v>
      </c>
      <c r="N241" t="inlineStr">
        <is>
          <t>KAGUMO</t>
        </is>
      </c>
      <c r="R241" s="3" t="inlineStr">
        <is>
          <t>20114</t>
        </is>
      </c>
      <c r="AE241" s="324" t="n">
        <v>570</v>
      </c>
      <c r="AF241" s="324" t="inlineStr">
        <is>
          <t>Imenti South</t>
        </is>
      </c>
      <c r="AG241" s="324" t="n">
        <v>83</v>
      </c>
      <c r="AU241" t="n">
        <v>483</v>
      </c>
      <c r="AV241" t="inlineStr">
        <is>
          <t>NAROK</t>
        </is>
      </c>
      <c r="AW241" t="n">
        <v>68</v>
      </c>
      <c r="AX241" s="4" t="n"/>
    </row>
    <row r="242">
      <c r="A242" s="305" t="inlineStr">
        <is>
          <t>SENEGAL</t>
        </is>
      </c>
      <c r="B242" s="306" t="n">
        <v>153</v>
      </c>
      <c r="M242" s="3" t="inlineStr">
        <is>
          <t>01033</t>
        </is>
      </c>
      <c r="N242" t="inlineStr">
        <is>
          <t>KAGUNDUINI</t>
        </is>
      </c>
      <c r="R242" s="3" t="inlineStr">
        <is>
          <t>20115</t>
        </is>
      </c>
      <c r="AE242" s="324" t="n">
        <v>571</v>
      </c>
      <c r="AF242" s="324" t="inlineStr">
        <is>
          <t>Meru Central</t>
        </is>
      </c>
      <c r="AG242" s="324" t="n">
        <v>84</v>
      </c>
      <c r="AU242" t="n">
        <v>498</v>
      </c>
      <c r="AV242" t="inlineStr">
        <is>
          <t>NGONG</t>
        </is>
      </c>
      <c r="AW242" t="n">
        <v>68</v>
      </c>
      <c r="AX242" s="4" t="n"/>
    </row>
    <row r="243">
      <c r="A243" s="305" t="inlineStr">
        <is>
          <t>SERBIA</t>
        </is>
      </c>
      <c r="B243" s="306" t="n">
        <v>154</v>
      </c>
      <c r="M243" s="3" t="inlineStr">
        <is>
          <t>00223</t>
        </is>
      </c>
      <c r="N243" t="inlineStr">
        <is>
          <t>KAGWE</t>
        </is>
      </c>
      <c r="R243" s="3" t="inlineStr">
        <is>
          <t>20116</t>
        </is>
      </c>
      <c r="AE243" s="324" t="n">
        <v>572</v>
      </c>
      <c r="AF243" s="324" t="inlineStr">
        <is>
          <t>Meru South</t>
        </is>
      </c>
      <c r="AG243" s="324" t="n">
        <v>85</v>
      </c>
      <c r="AU243" t="n">
        <v>471</v>
      </c>
      <c r="AV243" t="inlineStr">
        <is>
          <t>NYAHURURU</t>
        </is>
      </c>
      <c r="AW243" t="n">
        <v>68</v>
      </c>
      <c r="AX243" s="4" t="n"/>
    </row>
    <row r="244">
      <c r="A244" s="305" t="inlineStr">
        <is>
          <t>SEYCHELLES</t>
        </is>
      </c>
      <c r="B244" s="306" t="n">
        <v>155</v>
      </c>
      <c r="M244" s="3" t="n">
        <v>20304</v>
      </c>
      <c r="N244" t="inlineStr">
        <is>
          <t>KAHEHO</t>
        </is>
      </c>
      <c r="R244" s="3" t="inlineStr">
        <is>
          <t>20117</t>
        </is>
      </c>
      <c r="AE244" s="324" t="n">
        <v>573</v>
      </c>
      <c r="AF244" s="324" t="inlineStr">
        <is>
          <t>Tigania East</t>
        </is>
      </c>
      <c r="AG244" s="324" t="n">
        <v>86</v>
      </c>
      <c r="AU244" t="n">
        <v>484</v>
      </c>
      <c r="AV244" t="inlineStr">
        <is>
          <t>NYAMIRA</t>
        </is>
      </c>
      <c r="AW244" t="n">
        <v>68</v>
      </c>
      <c r="AX244" s="4" t="n"/>
    </row>
    <row r="245">
      <c r="A245" s="305" t="inlineStr">
        <is>
          <t>SIERRA LEONE</t>
        </is>
      </c>
      <c r="B245" s="306" t="n">
        <v>156</v>
      </c>
      <c r="M245" s="3" t="n">
        <v>10206</v>
      </c>
      <c r="N245" t="inlineStr">
        <is>
          <t>KAHUHIA</t>
        </is>
      </c>
      <c r="R245" s="3" t="inlineStr">
        <is>
          <t>20118</t>
        </is>
      </c>
      <c r="AE245" s="324" t="n">
        <v>574</v>
      </c>
      <c r="AF245" s="324" t="inlineStr">
        <is>
          <t>Tigania West</t>
        </is>
      </c>
      <c r="AG245" s="324" t="n">
        <v>87</v>
      </c>
      <c r="AU245" t="n">
        <v>466</v>
      </c>
      <c r="AV245" t="inlineStr">
        <is>
          <t>NYERI</t>
        </is>
      </c>
      <c r="AW245" t="n">
        <v>68</v>
      </c>
      <c r="AX245" s="4" t="n"/>
    </row>
    <row r="246">
      <c r="A246" s="305" t="inlineStr">
        <is>
          <t>SINGAPORE</t>
        </is>
      </c>
      <c r="B246" s="306" t="n">
        <v>157</v>
      </c>
      <c r="M246" s="3" t="n">
        <v>10201</v>
      </c>
      <c r="N246" t="inlineStr">
        <is>
          <t>KAHURO</t>
        </is>
      </c>
      <c r="R246" s="3" t="inlineStr">
        <is>
          <t>20119</t>
        </is>
      </c>
      <c r="AE246" s="324" t="n">
        <v>575</v>
      </c>
      <c r="AF246" s="324" t="inlineStr">
        <is>
          <t>Tharaka North</t>
        </is>
      </c>
      <c r="AG246" s="324" t="n">
        <v>88</v>
      </c>
      <c r="AU246" t="n">
        <v>487</v>
      </c>
      <c r="AV246" t="inlineStr">
        <is>
          <t>OL-KALAO</t>
        </is>
      </c>
      <c r="AW246" t="n">
        <v>68</v>
      </c>
      <c r="AX246" s="4" t="n"/>
    </row>
    <row r="247">
      <c r="A247" s="305" t="inlineStr">
        <is>
          <t>SLOVAKIA</t>
        </is>
      </c>
      <c r="B247" s="306" t="n">
        <v>158</v>
      </c>
      <c r="M247" s="3" t="n">
        <v>10214</v>
      </c>
      <c r="N247" t="inlineStr">
        <is>
          <t>KAHUTI</t>
        </is>
      </c>
      <c r="R247" s="3" t="inlineStr">
        <is>
          <t>20120</t>
        </is>
      </c>
      <c r="AE247" s="324" t="n">
        <v>103</v>
      </c>
      <c r="AF247" s="324" t="inlineStr">
        <is>
          <t>Giakanja</t>
        </is>
      </c>
      <c r="AG247" s="324" t="n">
        <v>89</v>
      </c>
      <c r="AU247" t="n">
        <v>486</v>
      </c>
      <c r="AV247" t="inlineStr">
        <is>
          <t>ONGATA RONGAI</t>
        </is>
      </c>
      <c r="AW247" t="n">
        <v>68</v>
      </c>
      <c r="AX247" s="4" t="n"/>
    </row>
    <row r="248">
      <c r="A248" s="305" t="inlineStr">
        <is>
          <t>SLOVENIA</t>
        </is>
      </c>
      <c r="B248" s="306" t="n">
        <v>159</v>
      </c>
      <c r="M248" s="3" t="n">
        <v>30310</v>
      </c>
      <c r="N248" t="inlineStr">
        <is>
          <t>KAIBOI</t>
        </is>
      </c>
      <c r="R248" s="3" t="inlineStr">
        <is>
          <t>20121</t>
        </is>
      </c>
      <c r="AE248" s="324" t="n">
        <v>105</v>
      </c>
      <c r="AF248" s="324" t="inlineStr">
        <is>
          <t>Gichira</t>
        </is>
      </c>
      <c r="AG248" s="324" t="n">
        <v>89</v>
      </c>
      <c r="AU248" t="n">
        <v>513</v>
      </c>
      <c r="AV248" t="inlineStr">
        <is>
          <t>OTC</t>
        </is>
      </c>
      <c r="AW248" t="n">
        <v>68</v>
      </c>
      <c r="AX248" s="4" t="n"/>
    </row>
    <row r="249">
      <c r="A249" s="305" t="inlineStr">
        <is>
          <t>SOLOMON ISLANDS</t>
        </is>
      </c>
      <c r="B249" s="306" t="n">
        <v>160</v>
      </c>
      <c r="M249" s="3" t="n">
        <v>50305</v>
      </c>
      <c r="N249" t="inlineStr">
        <is>
          <t>KAIMOSI</t>
        </is>
      </c>
      <c r="R249" s="3" t="inlineStr">
        <is>
          <t>20122</t>
        </is>
      </c>
      <c r="AE249" s="324" t="n">
        <v>178</v>
      </c>
      <c r="AF249" s="324" t="inlineStr">
        <is>
          <t>Karatina</t>
        </is>
      </c>
      <c r="AG249" s="324" t="n">
        <v>89</v>
      </c>
      <c r="AU249" t="n">
        <v>463</v>
      </c>
      <c r="AV249" t="inlineStr">
        <is>
          <t>OTHAYA</t>
        </is>
      </c>
      <c r="AW249" t="n">
        <v>68</v>
      </c>
      <c r="AX249" s="4" t="n"/>
    </row>
    <row r="250">
      <c r="A250" s="305" t="inlineStr">
        <is>
          <t>SOMALIA</t>
        </is>
      </c>
      <c r="B250" s="306" t="n">
        <v>161</v>
      </c>
      <c r="M250" s="3" t="n">
        <v>30604</v>
      </c>
      <c r="N250" t="inlineStr">
        <is>
          <t>KAINUK</t>
        </is>
      </c>
      <c r="R250" s="3" t="inlineStr">
        <is>
          <t>20123</t>
        </is>
      </c>
      <c r="AE250" s="324" t="n">
        <v>200</v>
      </c>
      <c r="AF250" s="324" t="inlineStr">
        <is>
          <t>Kiamariga</t>
        </is>
      </c>
      <c r="AG250" s="324" t="n">
        <v>89</v>
      </c>
      <c r="AU250" t="n">
        <v>512</v>
      </c>
      <c r="AV250" t="inlineStr">
        <is>
          <t>RUIRU</t>
        </is>
      </c>
      <c r="AW250" t="n">
        <v>68</v>
      </c>
      <c r="AX250" s="4" t="n"/>
    </row>
    <row r="251">
      <c r="A251" s="305" t="inlineStr">
        <is>
          <t>SOUTH AFRICA</t>
        </is>
      </c>
      <c r="B251" s="306" t="n">
        <v>162</v>
      </c>
      <c r="M251" s="3" t="inlineStr">
        <is>
          <t>01007</t>
        </is>
      </c>
      <c r="N251" t="inlineStr">
        <is>
          <t>KAIRI</t>
        </is>
      </c>
      <c r="R251" s="3" t="inlineStr">
        <is>
          <t>20124</t>
        </is>
      </c>
      <c r="AE251" s="324" t="n">
        <v>204</v>
      </c>
      <c r="AF251" s="324" t="inlineStr">
        <is>
          <t>Kiandu</t>
        </is>
      </c>
      <c r="AG251" s="324" t="n">
        <v>89</v>
      </c>
      <c r="AU251" t="n">
        <v>464</v>
      </c>
      <c r="AV251" t="inlineStr">
        <is>
          <t>THIKA</t>
        </is>
      </c>
      <c r="AW251" t="n">
        <v>68</v>
      </c>
      <c r="AX251" s="4" t="n"/>
    </row>
    <row r="252">
      <c r="A252" s="305" t="inlineStr">
        <is>
          <t>SPAIN</t>
        </is>
      </c>
      <c r="B252" s="306" t="n">
        <v>163</v>
      </c>
      <c r="M252" s="3" t="n">
        <v>10215</v>
      </c>
      <c r="N252" t="inlineStr">
        <is>
          <t>KAIRO</t>
        </is>
      </c>
      <c r="R252" s="3" t="inlineStr">
        <is>
          <t>20125</t>
        </is>
      </c>
      <c r="AE252" s="324" t="n">
        <v>211</v>
      </c>
      <c r="AF252" s="324" t="inlineStr">
        <is>
          <t>Kiaruiyu</t>
        </is>
      </c>
      <c r="AG252" s="324" t="n">
        <v>89</v>
      </c>
      <c r="AU252" t="n">
        <v>467</v>
      </c>
      <c r="AV252" t="inlineStr">
        <is>
          <t>TOM MBOYA</t>
        </is>
      </c>
      <c r="AW252" t="n">
        <v>68</v>
      </c>
      <c r="AX252" s="4" t="n"/>
    </row>
    <row r="253">
      <c r="A253" s="305" t="inlineStr">
        <is>
          <t>SRI LANKA</t>
        </is>
      </c>
      <c r="B253" s="306" t="n">
        <v>164</v>
      </c>
      <c r="M253" s="3" t="inlineStr">
        <is>
          <t>01100</t>
        </is>
      </c>
      <c r="N253" t="inlineStr">
        <is>
          <t>KAJIADO</t>
        </is>
      </c>
      <c r="R253" s="3" t="inlineStr">
        <is>
          <t>20126</t>
        </is>
      </c>
      <c r="AE253" s="324" t="n">
        <v>234</v>
      </c>
      <c r="AF253" s="324" t="inlineStr">
        <is>
          <t>Kiriaini</t>
        </is>
      </c>
      <c r="AG253" s="324" t="n">
        <v>89</v>
      </c>
      <c r="AU253" t="n">
        <v>504</v>
      </c>
      <c r="AV253" t="inlineStr">
        <is>
          <t>VOI</t>
        </is>
      </c>
      <c r="AW253" t="n">
        <v>68</v>
      </c>
      <c r="AX253" s="4" t="n"/>
    </row>
    <row r="254">
      <c r="A254" s="305" t="inlineStr">
        <is>
          <t>SUDAN</t>
        </is>
      </c>
      <c r="B254" s="306" t="n">
        <v>165</v>
      </c>
      <c r="M254" s="3" t="n">
        <v>50100</v>
      </c>
      <c r="N254" t="inlineStr">
        <is>
          <t>KAKAMEGA</t>
        </is>
      </c>
      <c r="R254" s="3" t="inlineStr">
        <is>
          <t>20127</t>
        </is>
      </c>
      <c r="AE254" s="324" t="n">
        <v>336</v>
      </c>
      <c r="AF254" s="324" t="inlineStr">
        <is>
          <t>Mathaithi</t>
        </is>
      </c>
      <c r="AG254" s="324" t="n">
        <v>89</v>
      </c>
      <c r="AU254" t="n">
        <v>492</v>
      </c>
      <c r="AV254" t="inlineStr">
        <is>
          <t>WOTE</t>
        </is>
      </c>
      <c r="AW254" t="n">
        <v>68</v>
      </c>
      <c r="AX254" s="4" t="n"/>
    </row>
    <row r="255">
      <c r="A255" s="305" t="inlineStr">
        <is>
          <t>SURINAME</t>
        </is>
      </c>
      <c r="B255" s="306" t="n">
        <v>166</v>
      </c>
      <c r="M255" s="3" t="n">
        <v>50419</v>
      </c>
      <c r="N255" t="inlineStr">
        <is>
          <t>KAKEMER</t>
        </is>
      </c>
      <c r="R255" s="3" t="inlineStr">
        <is>
          <t>20128</t>
        </is>
      </c>
      <c r="AE255" s="324" t="n">
        <v>366</v>
      </c>
      <c r="AF255" s="324" t="inlineStr">
        <is>
          <t>Mukurweini</t>
        </is>
      </c>
      <c r="AG255" s="324" t="n">
        <v>89</v>
      </c>
      <c r="AU255" t="n">
        <v>545</v>
      </c>
      <c r="AV255" t="inlineStr">
        <is>
          <t>BUNGOMA</t>
        </is>
      </c>
      <c r="AW255" t="n">
        <v>70</v>
      </c>
      <c r="AX255" s="4" t="n"/>
    </row>
    <row r="256">
      <c r="A256" s="305" t="inlineStr">
        <is>
          <t>SWAZILAND</t>
        </is>
      </c>
      <c r="B256" s="306" t="n">
        <v>167</v>
      </c>
      <c r="M256" s="3" t="n">
        <v>30216</v>
      </c>
      <c r="N256" t="inlineStr">
        <is>
          <t>KAKIBORA</t>
        </is>
      </c>
      <c r="R256" s="3" t="inlineStr">
        <is>
          <t>20129</t>
        </is>
      </c>
      <c r="AE256" s="324" t="n">
        <v>508</v>
      </c>
      <c r="AF256" s="324" t="inlineStr">
        <is>
          <t>Wamagana</t>
        </is>
      </c>
      <c r="AG256" s="324" t="n">
        <v>89</v>
      </c>
      <c r="AU256" t="n">
        <v>546</v>
      </c>
      <c r="AV256" t="inlineStr">
        <is>
          <t>BUSIA</t>
        </is>
      </c>
      <c r="AW256" t="n">
        <v>70</v>
      </c>
      <c r="AX256" s="4" t="n"/>
    </row>
    <row r="257">
      <c r="A257" s="305" t="inlineStr">
        <is>
          <t>SWEDEN</t>
        </is>
      </c>
      <c r="B257" s="306" t="n">
        <v>168</v>
      </c>
      <c r="M257" s="3" t="n">
        <v>80209</v>
      </c>
      <c r="N257" t="inlineStr">
        <is>
          <t>KAKONENI</t>
        </is>
      </c>
      <c r="R257" s="3" t="inlineStr">
        <is>
          <t>20130</t>
        </is>
      </c>
      <c r="AE257" s="324" t="n">
        <v>576</v>
      </c>
      <c r="AF257" s="324" t="inlineStr">
        <is>
          <t>Nairobi East</t>
        </is>
      </c>
      <c r="AG257" s="324" t="n">
        <v>90</v>
      </c>
      <c r="AU257" t="n">
        <v>526</v>
      </c>
      <c r="AV257" t="inlineStr">
        <is>
          <t>CARGEN HOUSE</t>
        </is>
      </c>
      <c r="AW257" t="n">
        <v>70</v>
      </c>
      <c r="AX257" s="4" t="n"/>
    </row>
    <row r="258">
      <c r="A258" s="305" t="inlineStr">
        <is>
          <t>SWITZERLAND</t>
        </is>
      </c>
      <c r="B258" s="306" t="n">
        <v>169</v>
      </c>
      <c r="M258" s="3" t="n">
        <v>30501</v>
      </c>
      <c r="N258" t="inlineStr">
        <is>
          <t>KAKUMA</t>
        </is>
      </c>
      <c r="R258" s="3" t="inlineStr">
        <is>
          <t>20131</t>
        </is>
      </c>
      <c r="AE258" s="324" t="n">
        <v>577</v>
      </c>
      <c r="AF258" s="324" t="inlineStr">
        <is>
          <t>Nairobi North</t>
        </is>
      </c>
      <c r="AG258" s="324" t="n">
        <v>91</v>
      </c>
      <c r="AU258" t="n">
        <v>532</v>
      </c>
      <c r="AV258" t="inlineStr">
        <is>
          <t>DONHOLM ROUNDABOUT/CALTEX</t>
        </is>
      </c>
      <c r="AW258" t="n">
        <v>70</v>
      </c>
      <c r="AX258" s="4" t="n"/>
    </row>
    <row r="259">
      <c r="A259" s="305" t="inlineStr">
        <is>
          <t>SYRIA</t>
        </is>
      </c>
      <c r="B259" s="306" t="n">
        <v>170</v>
      </c>
      <c r="M259" s="3" t="n">
        <v>50115</v>
      </c>
      <c r="N259" t="inlineStr">
        <is>
          <t>KAKUNGA</t>
        </is>
      </c>
      <c r="R259" s="3" t="inlineStr">
        <is>
          <t>20132</t>
        </is>
      </c>
      <c r="AE259" s="324" t="n">
        <v>578</v>
      </c>
      <c r="AF259" s="324" t="inlineStr">
        <is>
          <t>Nairobi West</t>
        </is>
      </c>
      <c r="AG259" s="324" t="n">
        <v>92</v>
      </c>
      <c r="AU259" t="n">
        <v>548</v>
      </c>
      <c r="AV259" t="inlineStr">
        <is>
          <t>ELDORET</t>
        </is>
      </c>
      <c r="AW259" t="n">
        <v>70</v>
      </c>
      <c r="AX259" s="4" t="n"/>
    </row>
    <row r="260">
      <c r="A260" s="305" t="inlineStr">
        <is>
          <t>TAIWAN</t>
        </is>
      </c>
      <c r="B260" s="306" t="n">
        <v>171</v>
      </c>
      <c r="M260" s="3" t="inlineStr">
        <is>
          <t>01014</t>
        </is>
      </c>
      <c r="N260" t="inlineStr">
        <is>
          <t>KAKUZI</t>
        </is>
      </c>
      <c r="R260" s="3" t="inlineStr">
        <is>
          <t>20133</t>
        </is>
      </c>
      <c r="AE260" s="324" t="n">
        <v>579</v>
      </c>
      <c r="AF260" s="324" t="inlineStr">
        <is>
          <t>Westlands</t>
        </is>
      </c>
      <c r="AG260" s="324" t="n">
        <v>93</v>
      </c>
      <c r="AU260" t="n">
        <v>544</v>
      </c>
      <c r="AV260" t="inlineStr">
        <is>
          <t>EMBU</t>
        </is>
      </c>
      <c r="AW260" t="n">
        <v>70</v>
      </c>
      <c r="AX260" s="4" t="n"/>
    </row>
    <row r="261">
      <c r="A261" s="305" t="inlineStr">
        <is>
          <t>TAJIKISTAN</t>
        </is>
      </c>
      <c r="B261" s="306" t="n">
        <v>172</v>
      </c>
      <c r="M261" s="3" t="n">
        <v>90306</v>
      </c>
      <c r="N261" t="inlineStr">
        <is>
          <t>KALAMBA</t>
        </is>
      </c>
      <c r="R261" s="3" t="inlineStr">
        <is>
          <t>20134</t>
        </is>
      </c>
      <c r="AE261" s="324" t="n">
        <v>4</v>
      </c>
      <c r="AF261" s="324" t="inlineStr">
        <is>
          <t>Alinjugur</t>
        </is>
      </c>
      <c r="AG261" s="324" t="n">
        <v>94</v>
      </c>
      <c r="AU261" t="n">
        <v>533</v>
      </c>
      <c r="AV261" t="inlineStr">
        <is>
          <t>FOURWAYS TOWERS</t>
        </is>
      </c>
      <c r="AW261" t="n">
        <v>70</v>
      </c>
      <c r="AX261" s="4" t="n"/>
    </row>
    <row r="262">
      <c r="A262" s="305" t="inlineStr">
        <is>
          <t>TANZANIA</t>
        </is>
      </c>
      <c r="B262" s="306" t="n">
        <v>173</v>
      </c>
      <c r="M262" s="3" t="n">
        <v>90126</v>
      </c>
      <c r="N262" t="inlineStr">
        <is>
          <t>KALAWA</t>
        </is>
      </c>
      <c r="R262" s="3" t="inlineStr">
        <is>
          <t>20135</t>
        </is>
      </c>
      <c r="AE262" s="324" t="n">
        <v>36</v>
      </c>
      <c r="AF262" s="324" t="inlineStr">
        <is>
          <t>Bura</t>
        </is>
      </c>
      <c r="AG262" s="324" t="n">
        <v>94</v>
      </c>
      <c r="AU262" t="n">
        <v>542</v>
      </c>
      <c r="AV262" t="inlineStr">
        <is>
          <t>FOURWAYS TOWERS CORPORATE</t>
        </is>
      </c>
      <c r="AW262" t="n">
        <v>70</v>
      </c>
      <c r="AX262" s="4" t="n"/>
    </row>
    <row r="263">
      <c r="A263" s="305" t="inlineStr">
        <is>
          <t>THAILAND</t>
        </is>
      </c>
      <c r="B263" s="306" t="n">
        <v>174</v>
      </c>
      <c r="M263" s="3" t="inlineStr">
        <is>
          <t>01001</t>
        </is>
      </c>
      <c r="N263" t="inlineStr">
        <is>
          <t>KALIMONI</t>
        </is>
      </c>
      <c r="R263" s="3" t="inlineStr">
        <is>
          <t>20136</t>
        </is>
      </c>
      <c r="AE263" s="324" t="n">
        <v>93</v>
      </c>
      <c r="AF263" s="324" t="inlineStr">
        <is>
          <t>Galmagala</t>
        </is>
      </c>
      <c r="AG263" s="324" t="n">
        <v>94</v>
      </c>
      <c r="AU263" t="n">
        <v>518</v>
      </c>
      <c r="AV263" t="inlineStr">
        <is>
          <t>GATUNDU</t>
        </is>
      </c>
      <c r="AW263" t="n">
        <v>70</v>
      </c>
      <c r="AX263" s="4" t="n"/>
    </row>
    <row r="264">
      <c r="A264" s="305" t="inlineStr">
        <is>
          <t>TOGO</t>
        </is>
      </c>
      <c r="B264" s="306" t="n">
        <v>175</v>
      </c>
      <c r="M264" s="3" t="n">
        <v>30502</v>
      </c>
      <c r="N264" t="inlineStr">
        <is>
          <t>KALOKOL</t>
        </is>
      </c>
      <c r="R264" s="3" t="inlineStr">
        <is>
          <t>20137</t>
        </is>
      </c>
      <c r="AE264" s="324" t="n">
        <v>119</v>
      </c>
      <c r="AF264" s="324" t="inlineStr">
        <is>
          <t>Hagardera</t>
        </is>
      </c>
      <c r="AG264" s="324" t="n">
        <v>94</v>
      </c>
      <c r="AU264" t="n">
        <v>536</v>
      </c>
      <c r="AV264" t="inlineStr">
        <is>
          <t>GIKOMBA</t>
        </is>
      </c>
      <c r="AW264" t="n">
        <v>70</v>
      </c>
      <c r="AX264" s="4" t="n"/>
    </row>
    <row r="265">
      <c r="A265" s="305" t="inlineStr">
        <is>
          <t>TONGA</t>
        </is>
      </c>
      <c r="B265" s="306" t="n">
        <v>176</v>
      </c>
      <c r="M265" s="3" t="n">
        <v>80105</v>
      </c>
      <c r="N265" t="inlineStr">
        <is>
          <t>KALOLENI</t>
        </is>
      </c>
      <c r="R265" s="3" t="inlineStr">
        <is>
          <t>20138</t>
        </is>
      </c>
      <c r="AE265" s="324" t="n">
        <v>96</v>
      </c>
      <c r="AF265" s="324" t="inlineStr">
        <is>
          <t>Garissa Township</t>
        </is>
      </c>
      <c r="AG265" s="324" t="n">
        <v>95</v>
      </c>
      <c r="AU265" t="n">
        <v>516</v>
      </c>
      <c r="AV265" t="inlineStr">
        <is>
          <t>GITHUNGURI</t>
        </is>
      </c>
      <c r="AW265" t="n">
        <v>70</v>
      </c>
      <c r="AX265" s="4" t="n"/>
    </row>
    <row r="266">
      <c r="A266" s="305" t="inlineStr">
        <is>
          <t>TRINIDAD AND TOBAGO</t>
        </is>
      </c>
      <c r="B266" s="306" t="n">
        <v>177</v>
      </c>
      <c r="M266" s="3" t="n">
        <v>20218</v>
      </c>
      <c r="N266" t="inlineStr">
        <is>
          <t>KAMAGET</t>
        </is>
      </c>
      <c r="R266" s="3" t="inlineStr">
        <is>
          <t>20139</t>
        </is>
      </c>
      <c r="AE266" s="324" t="n">
        <v>253</v>
      </c>
      <c r="AF266" s="324" t="inlineStr">
        <is>
          <t>Korakora</t>
        </is>
      </c>
      <c r="AG266" s="324" t="n">
        <v>95</v>
      </c>
      <c r="AU266" t="n">
        <v>537</v>
      </c>
      <c r="AV266" t="inlineStr">
        <is>
          <t>GITHURAI</t>
        </is>
      </c>
      <c r="AW266" t="n">
        <v>70</v>
      </c>
      <c r="AX266" s="4" t="n"/>
    </row>
    <row r="267">
      <c r="A267" s="305" t="inlineStr">
        <is>
          <t>TUNISIA</t>
        </is>
      </c>
      <c r="B267" s="306" t="n">
        <v>178</v>
      </c>
      <c r="M267" s="3" t="n">
        <v>10217</v>
      </c>
      <c r="N267" t="inlineStr">
        <is>
          <t>KAMAHUHA</t>
        </is>
      </c>
      <c r="R267" s="3" t="inlineStr">
        <is>
          <t>20140</t>
        </is>
      </c>
      <c r="AE267" s="324" t="n">
        <v>126</v>
      </c>
      <c r="AF267" s="324" t="inlineStr">
        <is>
          <t>Ijara</t>
        </is>
      </c>
      <c r="AG267" s="324" t="n">
        <v>96</v>
      </c>
      <c r="AU267" t="n">
        <v>514</v>
      </c>
      <c r="AV267" t="inlineStr">
        <is>
          <t>HEAD OFFICE</t>
        </is>
      </c>
      <c r="AW267" t="n">
        <v>70</v>
      </c>
      <c r="AX267" s="4" t="n"/>
    </row>
    <row r="268">
      <c r="A268" s="305" t="inlineStr">
        <is>
          <t>TURKEY</t>
        </is>
      </c>
      <c r="B268" s="306" t="n">
        <v>179</v>
      </c>
      <c r="M268" s="3" t="n">
        <v>20134</v>
      </c>
      <c r="N268" t="inlineStr">
        <is>
          <t>KAMARA</t>
        </is>
      </c>
      <c r="R268" s="3" t="inlineStr">
        <is>
          <t>20141</t>
        </is>
      </c>
      <c r="AE268" s="324" t="n">
        <v>255</v>
      </c>
      <c r="AF268" s="324" t="inlineStr">
        <is>
          <t>Kotile</t>
        </is>
      </c>
      <c r="AG268" s="324" t="n">
        <v>96</v>
      </c>
      <c r="AU268" t="n">
        <v>521</v>
      </c>
      <c r="AV268" t="inlineStr">
        <is>
          <t>KANGARI</t>
        </is>
      </c>
      <c r="AW268" t="n">
        <v>70</v>
      </c>
      <c r="AX268" s="4" t="n"/>
    </row>
    <row r="269">
      <c r="A269" s="305" t="inlineStr">
        <is>
          <t>TURKMENISTAN</t>
        </is>
      </c>
      <c r="B269" s="306" t="n">
        <v>180</v>
      </c>
      <c r="M269" s="3" t="n">
        <v>10216</v>
      </c>
      <c r="N269" t="inlineStr">
        <is>
          <t>KAMBERUA</t>
        </is>
      </c>
      <c r="R269" s="3" t="inlineStr">
        <is>
          <t>20142</t>
        </is>
      </c>
      <c r="AE269" s="324" t="n">
        <v>332</v>
      </c>
      <c r="AF269" s="324" t="inlineStr">
        <is>
          <t>Masalani</t>
        </is>
      </c>
      <c r="AG269" s="324" t="n">
        <v>96</v>
      </c>
      <c r="AU269" t="n">
        <v>523</v>
      </c>
      <c r="AV269" t="inlineStr">
        <is>
          <t>KANGEMA</t>
        </is>
      </c>
      <c r="AW269" t="n">
        <v>70</v>
      </c>
      <c r="AX269" s="4" t="n"/>
    </row>
    <row r="270">
      <c r="A270" s="305" t="inlineStr">
        <is>
          <t>TUVALU</t>
        </is>
      </c>
      <c r="B270" s="306" t="n">
        <v>181</v>
      </c>
      <c r="M270" s="3" t="n">
        <v>50116</v>
      </c>
      <c r="N270" t="inlineStr">
        <is>
          <t>KAMBIRI</t>
        </is>
      </c>
      <c r="R270" s="3" t="inlineStr">
        <is>
          <t>20143</t>
        </is>
      </c>
      <c r="AE270" s="324" t="n">
        <v>71</v>
      </c>
      <c r="AF270" s="324" t="inlineStr">
        <is>
          <t>El Dera</t>
        </is>
      </c>
      <c r="AG270" s="324" t="n">
        <v>97</v>
      </c>
      <c r="AU270" t="n">
        <v>552</v>
      </c>
      <c r="AV270" t="inlineStr">
        <is>
          <t>KAPSABET</t>
        </is>
      </c>
      <c r="AW270" t="n">
        <v>70</v>
      </c>
      <c r="AX270" s="4" t="n"/>
    </row>
    <row r="271">
      <c r="A271" s="305" t="inlineStr">
        <is>
          <t>UGANDA</t>
        </is>
      </c>
      <c r="B271" s="306" t="n">
        <v>182</v>
      </c>
      <c r="M271" s="3" t="n">
        <v>10226</v>
      </c>
      <c r="N271" t="inlineStr">
        <is>
          <t>KAMBITI</t>
        </is>
      </c>
      <c r="R271" s="3" t="inlineStr">
        <is>
          <t>20144</t>
        </is>
      </c>
      <c r="AE271" s="324" t="n">
        <v>294</v>
      </c>
      <c r="AF271" s="324" t="inlineStr">
        <is>
          <t>Madogashe</t>
        </is>
      </c>
      <c r="AG271" s="324" t="n">
        <v>97</v>
      </c>
      <c r="AU271" t="n">
        <v>535</v>
      </c>
      <c r="AV271" t="inlineStr">
        <is>
          <t>KARIOBANGI</t>
        </is>
      </c>
      <c r="AW271" t="n">
        <v>70</v>
      </c>
      <c r="AX271" s="4" t="n"/>
    </row>
    <row r="272">
      <c r="A272" s="305" t="inlineStr">
        <is>
          <t>UKRAINE</t>
        </is>
      </c>
      <c r="B272" s="306" t="n">
        <v>183</v>
      </c>
      <c r="M272" s="3" t="inlineStr">
        <is>
          <t>00607</t>
        </is>
      </c>
      <c r="N272" t="inlineStr">
        <is>
          <t>KAMITI</t>
        </is>
      </c>
      <c r="R272" s="3" t="inlineStr">
        <is>
          <t>20145</t>
        </is>
      </c>
      <c r="AE272" s="324" t="n">
        <v>496</v>
      </c>
      <c r="AF272" s="324" t="inlineStr">
        <is>
          <t>Tokajo</t>
        </is>
      </c>
      <c r="AG272" s="324" t="n">
        <v>97</v>
      </c>
      <c r="AU272" t="n">
        <v>525</v>
      </c>
      <c r="AV272" t="inlineStr">
        <is>
          <t>KENYATTA AVENUE</t>
        </is>
      </c>
      <c r="AW272" t="n">
        <v>70</v>
      </c>
      <c r="AX272" s="4" t="n"/>
    </row>
    <row r="273">
      <c r="A273" s="305" t="inlineStr">
        <is>
          <t>UNITED ARAB EMIRATES</t>
        </is>
      </c>
      <c r="B273" s="306" t="n">
        <v>184</v>
      </c>
      <c r="M273" s="3" t="n">
        <v>20121</v>
      </c>
      <c r="N273" t="inlineStr">
        <is>
          <t>KAMPI YA MOTO</t>
        </is>
      </c>
      <c r="R273" s="3" t="inlineStr">
        <is>
          <t>20146</t>
        </is>
      </c>
      <c r="AE273" s="324" t="n">
        <v>79</v>
      </c>
      <c r="AF273" s="324" t="inlineStr">
        <is>
          <t>Elwak</t>
        </is>
      </c>
      <c r="AG273" s="324" t="n">
        <v>98</v>
      </c>
      <c r="AU273" t="n">
        <v>539</v>
      </c>
      <c r="AV273" t="inlineStr">
        <is>
          <t>KERUGOYA</t>
        </is>
      </c>
      <c r="AW273" t="n">
        <v>70</v>
      </c>
      <c r="AX273" s="4" t="n"/>
    </row>
    <row r="274">
      <c r="A274" s="305" t="inlineStr">
        <is>
          <t>UNITED KINGDOM</t>
        </is>
      </c>
      <c r="B274" s="306" t="n">
        <v>185</v>
      </c>
      <c r="M274" s="3" t="n">
        <v>30406</v>
      </c>
      <c r="N274" t="inlineStr">
        <is>
          <t>KAMPI YA SAMAKI</t>
        </is>
      </c>
      <c r="R274" s="3" t="inlineStr">
        <is>
          <t>20147</t>
        </is>
      </c>
      <c r="AE274" s="324" t="n">
        <v>514</v>
      </c>
      <c r="AF274" s="324" t="inlineStr">
        <is>
          <t>Wargadud</t>
        </is>
      </c>
      <c r="AG274" s="324" t="n">
        <v>98</v>
      </c>
      <c r="AU274" t="n">
        <v>515</v>
      </c>
      <c r="AV274" t="inlineStr">
        <is>
          <t>KIAMBU</t>
        </is>
      </c>
      <c r="AW274" t="n">
        <v>70</v>
      </c>
      <c r="AX274" s="4" t="n"/>
    </row>
    <row r="275">
      <c r="A275" s="305" t="inlineStr">
        <is>
          <t>UNITED STATES OF AMERICA</t>
        </is>
      </c>
      <c r="B275" s="306" t="n">
        <v>186</v>
      </c>
      <c r="M275" s="3" t="n">
        <v>50216</v>
      </c>
      <c r="N275" t="inlineStr">
        <is>
          <t>KAMUKUYWA</t>
        </is>
      </c>
      <c r="R275" s="3" t="inlineStr">
        <is>
          <t>20148</t>
        </is>
      </c>
      <c r="AE275" s="324" t="n">
        <v>10</v>
      </c>
      <c r="AF275" s="324" t="inlineStr">
        <is>
          <t>Arabia</t>
        </is>
      </c>
      <c r="AG275" s="324" t="n">
        <v>99</v>
      </c>
      <c r="AU275" t="n">
        <v>522</v>
      </c>
      <c r="AV275" t="inlineStr">
        <is>
          <t>KIRIA-INI</t>
        </is>
      </c>
      <c r="AW275" t="n">
        <v>70</v>
      </c>
      <c r="AX275" s="4" t="n"/>
    </row>
    <row r="276">
      <c r="A276" s="305" t="inlineStr">
        <is>
          <t>URUGUAY</t>
        </is>
      </c>
      <c r="B276" s="306" t="n">
        <v>187</v>
      </c>
      <c r="M276" s="3" t="n">
        <v>50408</v>
      </c>
      <c r="N276" t="inlineStr">
        <is>
          <t>KAMURIAI</t>
        </is>
      </c>
      <c r="R276" s="3" t="inlineStr">
        <is>
          <t>20149</t>
        </is>
      </c>
      <c r="AE276" s="324" t="n">
        <v>316</v>
      </c>
      <c r="AF276" s="324" t="inlineStr">
        <is>
          <t>Mandera Township</t>
        </is>
      </c>
      <c r="AG276" s="324" t="n">
        <v>99</v>
      </c>
      <c r="AU276" t="n">
        <v>531</v>
      </c>
      <c r="AV276" t="inlineStr">
        <is>
          <t>KISII</t>
        </is>
      </c>
      <c r="AW276" t="n">
        <v>70</v>
      </c>
      <c r="AX276" s="4" t="n"/>
    </row>
    <row r="277">
      <c r="A277" s="305" t="inlineStr">
        <is>
          <t>UZBEKISTAN</t>
        </is>
      </c>
      <c r="B277" s="306" t="n">
        <v>188</v>
      </c>
      <c r="M277" s="3" t="n">
        <v>90403</v>
      </c>
      <c r="N277" t="inlineStr">
        <is>
          <t>KAMUWONGO</t>
        </is>
      </c>
      <c r="R277" s="3" t="inlineStr">
        <is>
          <t>20150</t>
        </is>
      </c>
      <c r="AE277" s="324" t="n">
        <v>12</v>
      </c>
      <c r="AF277" s="324" t="inlineStr">
        <is>
          <t>As Habito</t>
        </is>
      </c>
      <c r="AG277" s="324" t="n">
        <v>100</v>
      </c>
      <c r="AU277" t="n">
        <v>530</v>
      </c>
      <c r="AV277" t="inlineStr">
        <is>
          <t>KISUMU</t>
        </is>
      </c>
      <c r="AW277" t="n">
        <v>70</v>
      </c>
      <c r="AX277" s="4" t="n"/>
    </row>
    <row r="278">
      <c r="A278" s="305" t="inlineStr">
        <is>
          <t>VANUATU</t>
        </is>
      </c>
      <c r="B278" s="306" t="n">
        <v>189</v>
      </c>
      <c r="M278" s="3" t="n">
        <v>30113</v>
      </c>
      <c r="N278" t="inlineStr">
        <is>
          <t>KAMWASOR</t>
        </is>
      </c>
      <c r="R278" s="3" t="inlineStr">
        <is>
          <t>20151</t>
        </is>
      </c>
      <c r="AE278" s="324" t="n">
        <v>442</v>
      </c>
      <c r="AF278" s="324" t="inlineStr">
        <is>
          <t>Ramu</t>
        </is>
      </c>
      <c r="AG278" s="324" t="n">
        <v>100</v>
      </c>
      <c r="AU278" t="n">
        <v>549</v>
      </c>
      <c r="AV278" t="inlineStr">
        <is>
          <t>KITALE</t>
        </is>
      </c>
      <c r="AW278" t="n">
        <v>70</v>
      </c>
      <c r="AX278" s="4" t="n"/>
    </row>
    <row r="279">
      <c r="A279" s="305" t="inlineStr">
        <is>
          <t>VANUATU</t>
        </is>
      </c>
      <c r="B279" s="306" t="n">
        <v>190</v>
      </c>
      <c r="M279" s="3" t="n">
        <v>20132</v>
      </c>
      <c r="N279" t="inlineStr">
        <is>
          <t>KAMWAURA NAKURU</t>
        </is>
      </c>
      <c r="R279" s="3" t="inlineStr">
        <is>
          <t>20152</t>
        </is>
      </c>
      <c r="AE279" s="324" t="n">
        <v>61</v>
      </c>
      <c r="AF279" s="324" t="inlineStr">
        <is>
          <t>Dantu</t>
        </is>
      </c>
      <c r="AG279" s="324" t="n">
        <v>101</v>
      </c>
      <c r="AU279" t="n">
        <v>534</v>
      </c>
      <c r="AV279" t="inlineStr">
        <is>
          <t>KTDA PLAZA</t>
        </is>
      </c>
      <c r="AW279" t="n">
        <v>70</v>
      </c>
      <c r="AX279" s="4" t="n"/>
    </row>
    <row r="280">
      <c r="A280" s="305" t="inlineStr">
        <is>
          <t>VENEZUELA</t>
        </is>
      </c>
      <c r="B280" s="306" t="n">
        <v>191</v>
      </c>
      <c r="M280" s="3" t="n">
        <v>40315</v>
      </c>
      <c r="N280" t="inlineStr">
        <is>
          <t>KANAM</t>
        </is>
      </c>
      <c r="R280" s="3" t="inlineStr">
        <is>
          <t>20153</t>
        </is>
      </c>
      <c r="AE280" s="324" t="n">
        <v>488</v>
      </c>
      <c r="AF280" s="324" t="inlineStr">
        <is>
          <t>Takaba</t>
        </is>
      </c>
      <c r="AG280" s="324" t="n">
        <v>101</v>
      </c>
      <c r="AU280" t="n">
        <v>541</v>
      </c>
      <c r="AV280" t="inlineStr">
        <is>
          <t>KTDA PLAZA CORPORATE</t>
        </is>
      </c>
      <c r="AW280" t="n">
        <v>70</v>
      </c>
      <c r="AX280" s="4" t="n"/>
    </row>
    <row r="281">
      <c r="A281" s="305" t="inlineStr">
        <is>
          <t>VIETNAM</t>
        </is>
      </c>
      <c r="B281" s="306" t="n">
        <v>192</v>
      </c>
      <c r="M281" s="3" t="inlineStr">
        <is>
          <t>01034</t>
        </is>
      </c>
      <c r="N281" t="inlineStr">
        <is>
          <t>KANDARA</t>
        </is>
      </c>
      <c r="R281" s="3" t="inlineStr">
        <is>
          <t>20154</t>
        </is>
      </c>
      <c r="AE281" s="324" t="n">
        <v>197</v>
      </c>
      <c r="AF281" s="324" t="inlineStr">
        <is>
          <t>Khorof Harar</t>
        </is>
      </c>
      <c r="AG281" s="324" t="n">
        <v>102</v>
      </c>
      <c r="AU281" t="n">
        <v>538</v>
      </c>
      <c r="AV281" t="inlineStr">
        <is>
          <t>LIMURU</t>
        </is>
      </c>
      <c r="AW281" t="n">
        <v>70</v>
      </c>
      <c r="AX281" s="4" t="n"/>
    </row>
    <row r="282">
      <c r="A282" s="305" t="inlineStr">
        <is>
          <t>YEMEN</t>
        </is>
      </c>
      <c r="B282" s="306" t="n">
        <v>193</v>
      </c>
      <c r="M282" s="3" t="n">
        <v>40304</v>
      </c>
      <c r="N282" t="inlineStr">
        <is>
          <t>KANDIEGE</t>
        </is>
      </c>
      <c r="R282" s="3" t="inlineStr">
        <is>
          <t>20155</t>
        </is>
      </c>
      <c r="AE282" s="324" t="n">
        <v>506</v>
      </c>
      <c r="AF282" s="324" t="inlineStr">
        <is>
          <t>Wajir Bor</t>
        </is>
      </c>
      <c r="AG282" s="324" t="n">
        <v>102</v>
      </c>
      <c r="AU282" t="n">
        <v>543</v>
      </c>
      <c r="AV282" t="inlineStr">
        <is>
          <t>MACKAKOS</t>
        </is>
      </c>
      <c r="AW282" t="n">
        <v>70</v>
      </c>
      <c r="AX282" s="4" t="n"/>
    </row>
    <row r="283">
      <c r="A283" s="305" t="inlineStr">
        <is>
          <t>ZAMBIA</t>
        </is>
      </c>
      <c r="B283" s="306" t="n">
        <v>194</v>
      </c>
      <c r="M283" s="3" t="n">
        <v>50215</v>
      </c>
      <c r="N283" t="inlineStr">
        <is>
          <t>KANDUYI</t>
        </is>
      </c>
      <c r="R283" s="3" t="inlineStr">
        <is>
          <t>20156</t>
        </is>
      </c>
      <c r="AE283" s="324" t="n">
        <v>35</v>
      </c>
      <c r="AF283" s="324" t="inlineStr">
        <is>
          <t>Buna</t>
        </is>
      </c>
      <c r="AG283" s="324" t="n">
        <v>103</v>
      </c>
      <c r="AU283" t="n">
        <v>547</v>
      </c>
      <c r="AV283" t="inlineStr">
        <is>
          <t>MOLO</t>
        </is>
      </c>
      <c r="AW283" t="n">
        <v>70</v>
      </c>
      <c r="AX283" s="4" t="n"/>
    </row>
    <row r="284">
      <c r="A284" s="305" t="inlineStr">
        <is>
          <t>ZIMBAMBWE</t>
        </is>
      </c>
      <c r="B284" s="306" t="n">
        <v>195</v>
      </c>
      <c r="M284" s="3" t="n">
        <v>10218</v>
      </c>
      <c r="N284" t="inlineStr">
        <is>
          <t>KANGARI</t>
        </is>
      </c>
      <c r="R284" s="3" t="inlineStr">
        <is>
          <t>20200</t>
        </is>
      </c>
      <c r="AE284" s="324" t="n">
        <v>39</v>
      </c>
      <c r="AF284" s="324" t="inlineStr">
        <is>
          <t>Bute</t>
        </is>
      </c>
      <c r="AG284" s="324" t="n">
        <v>103</v>
      </c>
      <c r="AU284" t="n">
        <v>550</v>
      </c>
      <c r="AV284" t="inlineStr">
        <is>
          <t>MOMBASA</t>
        </is>
      </c>
      <c r="AW284" t="n">
        <v>70</v>
      </c>
      <c r="AX284" s="4" t="n"/>
    </row>
    <row r="285">
      <c r="A285" s="305" t="inlineStr">
        <is>
          <t>GUINEA-BISSAU</t>
        </is>
      </c>
      <c r="B285" s="306" t="n">
        <v>196</v>
      </c>
      <c r="M285" s="3" t="n">
        <v>10202</v>
      </c>
      <c r="N285" t="inlineStr">
        <is>
          <t>KANGEMA</t>
        </is>
      </c>
      <c r="R285" s="3" t="inlineStr">
        <is>
          <t>20201</t>
        </is>
      </c>
      <c r="AE285" s="324" t="n">
        <v>60</v>
      </c>
      <c r="AF285" s="324" t="inlineStr">
        <is>
          <t>Danaba</t>
        </is>
      </c>
      <c r="AG285" s="324" t="n">
        <v>103</v>
      </c>
      <c r="AU285" t="n">
        <v>551</v>
      </c>
      <c r="AV285" t="inlineStr">
        <is>
          <t>MOMBASA11</t>
        </is>
      </c>
      <c r="AW285" t="n">
        <v>70</v>
      </c>
      <c r="AX285" s="4" t="n"/>
    </row>
    <row r="286">
      <c r="M286" s="3" t="inlineStr">
        <is>
          <t>00625</t>
        </is>
      </c>
      <c r="N286" t="inlineStr">
        <is>
          <t>KANGEMI</t>
        </is>
      </c>
      <c r="R286" s="3" t="inlineStr">
        <is>
          <t>20202</t>
        </is>
      </c>
      <c r="AE286" s="324" t="n">
        <v>116</v>
      </c>
      <c r="AF286" s="324" t="inlineStr">
        <is>
          <t>Gurar</t>
        </is>
      </c>
      <c r="AG286" s="324" t="n">
        <v>103</v>
      </c>
      <c r="AU286" t="n">
        <v>520</v>
      </c>
      <c r="AV286" t="inlineStr">
        <is>
          <t>MURANGA</t>
        </is>
      </c>
      <c r="AW286" t="n">
        <v>70</v>
      </c>
      <c r="AX286" s="4" t="n"/>
    </row>
    <row r="287">
      <c r="M287" s="3" t="n">
        <v>60603</v>
      </c>
      <c r="N287" t="inlineStr">
        <is>
          <t>KANGETA</t>
        </is>
      </c>
      <c r="R287" s="3" t="inlineStr">
        <is>
          <t>20203</t>
        </is>
      </c>
      <c r="AE287" s="324" t="n">
        <v>1</v>
      </c>
      <c r="AF287" s="324" t="inlineStr">
        <is>
          <t>Abakore</t>
        </is>
      </c>
      <c r="AG287" s="324" t="n">
        <v>104</v>
      </c>
      <c r="AU287" t="n">
        <v>527</v>
      </c>
      <c r="AV287" t="inlineStr">
        <is>
          <t>NAKURU FINANCE HOUSE</t>
        </is>
      </c>
      <c r="AW287" t="n">
        <v>70</v>
      </c>
      <c r="AX287" s="4" t="n"/>
    </row>
    <row r="288">
      <c r="M288" s="3" t="inlineStr">
        <is>
          <t>01008</t>
        </is>
      </c>
      <c r="N288" t="inlineStr">
        <is>
          <t>KANGOO</t>
        </is>
      </c>
      <c r="R288" s="3" t="inlineStr">
        <is>
          <t>20204</t>
        </is>
      </c>
      <c r="AE288" s="324" t="n">
        <v>58</v>
      </c>
      <c r="AF288" s="324" t="inlineStr">
        <is>
          <t>Dadaja Bula</t>
        </is>
      </c>
      <c r="AG288" s="324" t="n">
        <v>104</v>
      </c>
      <c r="AU288" t="n">
        <v>528</v>
      </c>
      <c r="AV288" t="inlineStr">
        <is>
          <t>NAKURU NJORO HOUSE</t>
        </is>
      </c>
      <c r="AW288" t="n">
        <v>70</v>
      </c>
      <c r="AX288" s="4" t="n"/>
    </row>
    <row r="289">
      <c r="A289" s="448" t="inlineStr">
        <is>
          <t>Country Name DTAA</t>
        </is>
      </c>
      <c r="B289" s="448" t="inlineStr">
        <is>
          <t>Country Id DTAA</t>
        </is>
      </c>
      <c r="M289" s="3" t="n">
        <v>90115</v>
      </c>
      <c r="N289" t="inlineStr">
        <is>
          <t>KANGUNDO</t>
        </is>
      </c>
      <c r="R289" s="3" t="inlineStr">
        <is>
          <t>20205</t>
        </is>
      </c>
      <c r="AE289" s="324" t="n">
        <v>64</v>
      </c>
      <c r="AF289" s="324" t="inlineStr">
        <is>
          <t>Diif</t>
        </is>
      </c>
      <c r="AG289" s="324" t="n">
        <v>104</v>
      </c>
      <c r="AU289" t="n">
        <v>540</v>
      </c>
      <c r="AV289" t="inlineStr">
        <is>
          <t>NJURI NCHEKE/TOM MBOYA</t>
        </is>
      </c>
      <c r="AW289" t="n">
        <v>70</v>
      </c>
      <c r="AX289" s="4" t="n"/>
    </row>
    <row r="290">
      <c r="A290" s="305" t="inlineStr">
        <is>
          <t>AFGHANISTAN</t>
        </is>
      </c>
      <c r="B290" s="306" t="n">
        <v>1</v>
      </c>
      <c r="M290" s="3" t="n">
        <v>60118</v>
      </c>
      <c r="N290" t="inlineStr">
        <is>
          <t>KANJA</t>
        </is>
      </c>
      <c r="R290" s="3" t="inlineStr">
        <is>
          <t>20206</t>
        </is>
      </c>
      <c r="AE290" s="324" t="n">
        <v>117</v>
      </c>
      <c r="AF290" s="324" t="inlineStr">
        <is>
          <t>Habswein</t>
        </is>
      </c>
      <c r="AG290" s="324" t="n">
        <v>104</v>
      </c>
      <c r="AU290" t="n">
        <v>524</v>
      </c>
      <c r="AV290" t="inlineStr">
        <is>
          <t>OTHAYA</t>
        </is>
      </c>
      <c r="AW290" t="n">
        <v>70</v>
      </c>
      <c r="AX290" s="4" t="n"/>
    </row>
    <row r="291">
      <c r="A291" s="305" t="inlineStr">
        <is>
          <t>ALBANIA</t>
        </is>
      </c>
      <c r="B291" s="306" t="n">
        <v>2</v>
      </c>
      <c r="M291" s="3" t="inlineStr">
        <is>
          <t>01004</t>
        </is>
      </c>
      <c r="N291" t="inlineStr">
        <is>
          <t>KANJUKU</t>
        </is>
      </c>
      <c r="R291" s="3" t="inlineStr">
        <is>
          <t>20207</t>
        </is>
      </c>
      <c r="AE291" s="324" t="n">
        <v>11</v>
      </c>
      <c r="AF291" s="324" t="inlineStr">
        <is>
          <t>Arbajan</t>
        </is>
      </c>
      <c r="AG291" s="324" t="n">
        <v>105</v>
      </c>
      <c r="AU291" t="n">
        <v>529</v>
      </c>
      <c r="AV291" t="inlineStr">
        <is>
          <t>RUIRU</t>
        </is>
      </c>
      <c r="AW291" t="n">
        <v>70</v>
      </c>
      <c r="AX291" s="4" t="n"/>
    </row>
    <row r="292">
      <c r="A292" s="305" t="inlineStr">
        <is>
          <t>ALGERIA</t>
        </is>
      </c>
      <c r="B292" s="306" t="n">
        <v>3</v>
      </c>
      <c r="M292" s="3" t="n">
        <v>20309</v>
      </c>
      <c r="N292" t="inlineStr">
        <is>
          <t>KANYAAGIA</t>
        </is>
      </c>
      <c r="R292" s="3" t="inlineStr">
        <is>
          <t>20208</t>
        </is>
      </c>
      <c r="AE292" s="324" t="n">
        <v>115</v>
      </c>
      <c r="AF292" s="324" t="inlineStr">
        <is>
          <t>Griftu</t>
        </is>
      </c>
      <c r="AG292" s="324" t="n">
        <v>105</v>
      </c>
      <c r="AU292" t="n">
        <v>517</v>
      </c>
      <c r="AV292" t="inlineStr">
        <is>
          <t>SONALUX</t>
        </is>
      </c>
      <c r="AW292" t="n">
        <v>70</v>
      </c>
      <c r="AX292" s="4" t="n"/>
    </row>
    <row r="293">
      <c r="A293" s="305" t="inlineStr">
        <is>
          <t>ANDORRA</t>
        </is>
      </c>
      <c r="B293" s="306" t="n">
        <v>4</v>
      </c>
      <c r="M293" s="3" t="n">
        <v>60206</v>
      </c>
      <c r="N293" t="inlineStr">
        <is>
          <t>KANYAKINE</t>
        </is>
      </c>
      <c r="R293" s="3" t="inlineStr">
        <is>
          <t>20209</t>
        </is>
      </c>
      <c r="AE293" s="324" t="n">
        <v>118</v>
      </c>
      <c r="AF293" s="324" t="inlineStr">
        <is>
          <t>Hadado</t>
        </is>
      </c>
      <c r="AG293" s="324" t="n">
        <v>105</v>
      </c>
      <c r="AU293" t="n">
        <v>519</v>
      </c>
      <c r="AV293" t="inlineStr">
        <is>
          <t>THIKA</t>
        </is>
      </c>
      <c r="AW293" t="n">
        <v>70</v>
      </c>
      <c r="AX293" s="4" t="n"/>
    </row>
    <row r="294">
      <c r="A294" s="305" t="inlineStr">
        <is>
          <t>ANGOLA</t>
        </is>
      </c>
      <c r="B294" s="306" t="n">
        <v>5</v>
      </c>
      <c r="M294" s="3" t="inlineStr">
        <is>
          <t>01011</t>
        </is>
      </c>
      <c r="N294" t="inlineStr">
        <is>
          <t>KANYONI</t>
        </is>
      </c>
      <c r="R294" s="3" t="inlineStr">
        <is>
          <t>20210</t>
        </is>
      </c>
      <c r="AE294" s="324" t="n">
        <v>507</v>
      </c>
      <c r="AF294" s="324" t="inlineStr">
        <is>
          <t>Wajir Township</t>
        </is>
      </c>
      <c r="AG294" s="324" t="n">
        <v>105</v>
      </c>
      <c r="AU294" t="n">
        <v>412</v>
      </c>
      <c r="AV294" t="inlineStr">
        <is>
          <t>CITY CENTRE BRANCH</t>
        </is>
      </c>
      <c r="AW294" t="n">
        <v>60</v>
      </c>
      <c r="AX294" s="4" t="n"/>
    </row>
    <row r="295">
      <c r="A295" s="305" t="inlineStr">
        <is>
          <t>ANTIGUA AND BARBUDA</t>
        </is>
      </c>
      <c r="B295" s="306" t="n">
        <v>6</v>
      </c>
      <c r="M295" s="3" t="n">
        <v>60106</v>
      </c>
      <c r="N295" t="inlineStr">
        <is>
          <t>KANYUAMBORA</t>
        </is>
      </c>
      <c r="R295" s="3" t="inlineStr">
        <is>
          <t>20211</t>
        </is>
      </c>
      <c r="AE295" s="324" t="n">
        <v>123</v>
      </c>
      <c r="AF295" s="324" t="inlineStr">
        <is>
          <t>Hulugho</t>
        </is>
      </c>
      <c r="AG295" s="324" t="n">
        <v>106</v>
      </c>
      <c r="AU295" t="n">
        <v>415</v>
      </c>
      <c r="AV295" t="inlineStr">
        <is>
          <t>DIANI</t>
        </is>
      </c>
      <c r="AW295" t="n">
        <v>60</v>
      </c>
      <c r="AX295" s="4" t="n"/>
    </row>
    <row r="296">
      <c r="A296" s="305" t="inlineStr">
        <is>
          <t>ARGENTINA</t>
        </is>
      </c>
      <c r="B296" s="306" t="n">
        <v>7</v>
      </c>
      <c r="M296" s="3" t="n">
        <v>90208</v>
      </c>
      <c r="N296" t="inlineStr">
        <is>
          <t>KANZIKO</t>
        </is>
      </c>
      <c r="R296" s="3" t="inlineStr">
        <is>
          <t>20212</t>
        </is>
      </c>
      <c r="AE296" s="324" t="n">
        <v>127</v>
      </c>
      <c r="AF296" s="324" t="inlineStr">
        <is>
          <t>Ikabere</t>
        </is>
      </c>
      <c r="AG296" s="324" t="n">
        <v>106</v>
      </c>
      <c r="AU296" t="n">
        <v>411</v>
      </c>
      <c r="AV296" t="inlineStr">
        <is>
          <t>HEAD OFFICE</t>
        </is>
      </c>
      <c r="AW296" t="n">
        <v>60</v>
      </c>
      <c r="AX296" s="4" t="n"/>
    </row>
    <row r="297">
      <c r="A297" s="305" t="inlineStr">
        <is>
          <t>ARMENIA</t>
        </is>
      </c>
      <c r="B297" s="306" t="n">
        <v>8</v>
      </c>
      <c r="M297" s="3" t="n">
        <v>30304</v>
      </c>
      <c r="N297" t="inlineStr">
        <is>
          <t>KAPCHENO</t>
        </is>
      </c>
      <c r="R297" s="3" t="inlineStr">
        <is>
          <t>20213</t>
        </is>
      </c>
      <c r="AE297" s="324" t="n">
        <v>250</v>
      </c>
      <c r="AF297" s="324" t="inlineStr">
        <is>
          <t>Kolbio</t>
        </is>
      </c>
      <c r="AG297" s="324" t="n">
        <v>106</v>
      </c>
      <c r="AU297" t="n">
        <v>414</v>
      </c>
      <c r="AV297" t="inlineStr">
        <is>
          <t>INDUSTRIAL AREA BRANCH</t>
        </is>
      </c>
      <c r="AW297" t="n">
        <v>60</v>
      </c>
      <c r="AX297" s="4" t="n"/>
    </row>
    <row r="298">
      <c r="A298" s="305" t="inlineStr">
        <is>
          <t>AUSTRALIA</t>
        </is>
      </c>
      <c r="B298" s="306" t="n">
        <v>9</v>
      </c>
      <c r="M298" s="3" t="n">
        <v>20413</v>
      </c>
      <c r="N298" t="inlineStr">
        <is>
          <t>KAPCHERANY</t>
        </is>
      </c>
      <c r="R298" s="3" t="inlineStr">
        <is>
          <t>20214</t>
        </is>
      </c>
      <c r="AE298" s="324" t="n">
        <v>580</v>
      </c>
      <c r="AF298" s="324" t="inlineStr">
        <is>
          <t>Mbita</t>
        </is>
      </c>
      <c r="AG298" s="324" t="n">
        <v>107</v>
      </c>
      <c r="AU298" t="n">
        <v>416</v>
      </c>
      <c r="AV298" t="inlineStr">
        <is>
          <t>MALINDI</t>
        </is>
      </c>
      <c r="AW298" t="n">
        <v>60</v>
      </c>
      <c r="AX298" s="4" t="n"/>
    </row>
    <row r="299">
      <c r="A299" s="305" t="inlineStr">
        <is>
          <t>AUSTRIA</t>
        </is>
      </c>
      <c r="B299" s="306" t="n">
        <v>10</v>
      </c>
      <c r="M299" s="3" t="n">
        <v>30204</v>
      </c>
      <c r="N299" t="inlineStr">
        <is>
          <t>KAPCHEROP</t>
        </is>
      </c>
      <c r="R299" s="3" t="inlineStr">
        <is>
          <t>20215</t>
        </is>
      </c>
      <c r="AE299" s="324" t="n">
        <v>581</v>
      </c>
      <c r="AF299" s="324" t="inlineStr">
        <is>
          <t>Ndhiwa</t>
        </is>
      </c>
      <c r="AG299" s="324" t="n">
        <v>108</v>
      </c>
      <c r="AU299" t="n">
        <v>413</v>
      </c>
      <c r="AV299" t="inlineStr">
        <is>
          <t>WESTLANDS BRANCH</t>
        </is>
      </c>
      <c r="AW299" t="n">
        <v>60</v>
      </c>
      <c r="AX299" s="4" t="n"/>
    </row>
    <row r="300">
      <c r="A300" s="305" t="inlineStr">
        <is>
          <t>AZERBAIJAN</t>
        </is>
      </c>
      <c r="B300" s="306" t="n">
        <v>11</v>
      </c>
      <c r="M300" s="3" t="n">
        <v>30311</v>
      </c>
      <c r="N300" t="inlineStr">
        <is>
          <t>KAPCHORWA</t>
        </is>
      </c>
      <c r="R300" s="3" t="inlineStr">
        <is>
          <t>20216</t>
        </is>
      </c>
      <c r="AE300" s="324" t="n">
        <v>582</v>
      </c>
      <c r="AF300" s="324" t="inlineStr">
        <is>
          <t>Suba</t>
        </is>
      </c>
      <c r="AG300" s="324" t="n">
        <v>109</v>
      </c>
      <c r="AU300" t="n">
        <v>393</v>
      </c>
      <c r="AV300" t="inlineStr">
        <is>
          <t>ELDORET</t>
        </is>
      </c>
      <c r="AW300" t="n">
        <v>53</v>
      </c>
      <c r="AX300" s="4" t="n"/>
    </row>
    <row r="301">
      <c r="A301" s="305" t="inlineStr">
        <is>
          <t>BAHAMAS</t>
        </is>
      </c>
      <c r="B301" s="306" t="n">
        <v>12</v>
      </c>
      <c r="M301" s="3" t="n">
        <v>30410</v>
      </c>
      <c r="N301" t="inlineStr">
        <is>
          <t>KAPEDO</t>
        </is>
      </c>
      <c r="R301" s="3" t="inlineStr">
        <is>
          <t>20217</t>
        </is>
      </c>
      <c r="AE301" s="324" t="n">
        <v>583</v>
      </c>
      <c r="AF301" s="324" t="inlineStr">
        <is>
          <t>Rachuonyo North</t>
        </is>
      </c>
      <c r="AG301" s="324" t="n">
        <v>110</v>
      </c>
      <c r="AU301" t="n">
        <v>390</v>
      </c>
      <c r="AV301" t="inlineStr">
        <is>
          <t>HEAD OFFICE</t>
        </is>
      </c>
      <c r="AW301" t="n">
        <v>53</v>
      </c>
      <c r="AX301" s="4" t="n"/>
    </row>
    <row r="302">
      <c r="A302" s="305" t="inlineStr">
        <is>
          <t>BAHRAIN</t>
        </is>
      </c>
      <c r="B302" s="306" t="n">
        <v>13</v>
      </c>
      <c r="M302" s="3" t="n">
        <v>30600</v>
      </c>
      <c r="N302" t="inlineStr">
        <is>
          <t>KAPENGURIA</t>
        </is>
      </c>
      <c r="R302" s="3" t="inlineStr">
        <is>
          <t>20218</t>
        </is>
      </c>
      <c r="AE302" s="324" t="n">
        <v>584</v>
      </c>
      <c r="AF302" s="324" t="inlineStr">
        <is>
          <t>Rachuonyo South</t>
        </is>
      </c>
      <c r="AG302" s="324" t="n">
        <v>111</v>
      </c>
      <c r="AU302" t="n">
        <v>391</v>
      </c>
      <c r="AV302" t="inlineStr">
        <is>
          <t>INDUSTRIAL AREA</t>
        </is>
      </c>
      <c r="AW302" t="n">
        <v>53</v>
      </c>
      <c r="AX302" s="4" t="n"/>
    </row>
    <row r="303">
      <c r="A303" s="305" t="inlineStr">
        <is>
          <t>BANGLADESH</t>
        </is>
      </c>
      <c r="B303" s="306" t="n">
        <v>14</v>
      </c>
      <c r="M303" s="3" t="n">
        <v>50232</v>
      </c>
      <c r="N303" t="inlineStr">
        <is>
          <t>KAPKATENY</t>
        </is>
      </c>
      <c r="R303" s="3" t="inlineStr">
        <is>
          <t>20219</t>
        </is>
      </c>
      <c r="AE303" s="324" t="n">
        <v>585</v>
      </c>
      <c r="AF303" s="324" t="inlineStr">
        <is>
          <t>Gucha North</t>
        </is>
      </c>
      <c r="AG303" s="324" t="n">
        <v>112</v>
      </c>
      <c r="AU303" t="n">
        <v>392</v>
      </c>
      <c r="AV303" t="inlineStr">
        <is>
          <t>NAKURU</t>
        </is>
      </c>
      <c r="AW303" t="n">
        <v>53</v>
      </c>
      <c r="AX303" s="4" t="n"/>
    </row>
    <row r="304">
      <c r="A304" s="305" t="inlineStr">
        <is>
          <t>BARBADOS</t>
        </is>
      </c>
      <c r="B304" s="306" t="n">
        <v>15</v>
      </c>
      <c r="M304" s="3" t="n">
        <v>20214</v>
      </c>
      <c r="N304" t="inlineStr">
        <is>
          <t>KAPKATET</t>
        </is>
      </c>
      <c r="R304" s="3" t="inlineStr">
        <is>
          <t>20220</t>
        </is>
      </c>
      <c r="AE304" s="324" t="n">
        <v>586</v>
      </c>
      <c r="AF304" s="324" t="inlineStr">
        <is>
          <t>Gucha South</t>
        </is>
      </c>
      <c r="AG304" s="324" t="n">
        <v>113</v>
      </c>
      <c r="AU304" t="n">
        <v>898</v>
      </c>
      <c r="AV304" t="inlineStr">
        <is>
          <t>root bank</t>
        </is>
      </c>
      <c r="AW304" t="n">
        <v>53</v>
      </c>
      <c r="AX304" s="4" t="n"/>
    </row>
    <row r="305">
      <c r="A305" s="305" t="inlineStr">
        <is>
          <t>BELARUS</t>
        </is>
      </c>
      <c r="B305" s="306" t="n">
        <v>16</v>
      </c>
      <c r="M305" s="3" t="n">
        <v>20219</v>
      </c>
      <c r="N305" t="inlineStr">
        <is>
          <t>KAPKELEK</t>
        </is>
      </c>
      <c r="R305" s="3" t="inlineStr">
        <is>
          <t>20221</t>
        </is>
      </c>
      <c r="AE305" s="324" t="n">
        <v>587</v>
      </c>
      <c r="AF305" s="324" t="inlineStr">
        <is>
          <t>Kanyanya</t>
        </is>
      </c>
      <c r="AG305" s="324" t="n">
        <v>114</v>
      </c>
      <c r="AU305" t="n">
        <v>556</v>
      </c>
      <c r="AV305" t="inlineStr">
        <is>
          <t>EASTLEIGH</t>
        </is>
      </c>
      <c r="AW305" t="n">
        <v>74</v>
      </c>
      <c r="AX305" s="4" t="n"/>
    </row>
    <row r="306">
      <c r="A306" s="305" t="inlineStr">
        <is>
          <t>BELGIUM</t>
        </is>
      </c>
      <c r="B306" s="306" t="n">
        <v>17</v>
      </c>
      <c r="M306" s="3" t="n">
        <v>30119</v>
      </c>
      <c r="N306" t="inlineStr">
        <is>
          <t>KAPKENDA</t>
        </is>
      </c>
      <c r="R306" s="3" t="inlineStr">
        <is>
          <t>20222</t>
        </is>
      </c>
      <c r="AE306" s="324" t="n">
        <v>588</v>
      </c>
      <c r="AF306" s="324" t="inlineStr">
        <is>
          <t>Kisii Central</t>
        </is>
      </c>
      <c r="AG306" s="324" t="n">
        <v>115</v>
      </c>
      <c r="AU306" t="n">
        <v>558</v>
      </c>
      <c r="AV306" t="inlineStr">
        <is>
          <t>GARISSA</t>
        </is>
      </c>
      <c r="AW306" t="n">
        <v>74</v>
      </c>
      <c r="AX306" s="4" t="n"/>
    </row>
    <row r="307">
      <c r="A307" s="305" t="inlineStr">
        <is>
          <t>BELIZE</t>
        </is>
      </c>
      <c r="B307" s="306" t="n">
        <v>18</v>
      </c>
      <c r="M307" s="3" t="n">
        <v>20414</v>
      </c>
      <c r="N307" t="inlineStr">
        <is>
          <t>KAPKESOSIO</t>
        </is>
      </c>
      <c r="R307" s="3" t="inlineStr">
        <is>
          <t>20223</t>
        </is>
      </c>
      <c r="AE307" s="324" t="n">
        <v>589</v>
      </c>
      <c r="AF307" s="324" t="inlineStr">
        <is>
          <t>Kisii South</t>
        </is>
      </c>
      <c r="AG307" s="324" t="n">
        <v>116</v>
      </c>
      <c r="AU307" t="n">
        <v>559</v>
      </c>
      <c r="AV307" t="inlineStr">
        <is>
          <t>HEAD OFFICE/CLEARING CENTER</t>
        </is>
      </c>
      <c r="AW307" t="n">
        <v>74</v>
      </c>
      <c r="AX307" s="4" t="n"/>
    </row>
    <row r="308">
      <c r="A308" s="305" t="inlineStr">
        <is>
          <t>BENIN</t>
        </is>
      </c>
      <c r="B308" s="306" t="n">
        <v>19</v>
      </c>
      <c r="M308" s="3" t="n">
        <v>20415</v>
      </c>
      <c r="N308" t="inlineStr">
        <is>
          <t>KAPKOROS</t>
        </is>
      </c>
      <c r="R308" s="3" t="inlineStr">
        <is>
          <t>20224</t>
        </is>
      </c>
      <c r="AE308" s="324" t="n">
        <v>590</v>
      </c>
      <c r="AF308" s="324" t="inlineStr">
        <is>
          <t>Masaba</t>
        </is>
      </c>
      <c r="AG308" s="324" t="n">
        <v>117</v>
      </c>
      <c r="AU308" t="n">
        <v>557</v>
      </c>
      <c r="AV308" t="inlineStr">
        <is>
          <t>MOMBASA</t>
        </is>
      </c>
      <c r="AW308" t="n">
        <v>74</v>
      </c>
      <c r="AX308" s="4" t="n"/>
    </row>
    <row r="309">
      <c r="A309" s="305" t="inlineStr">
        <is>
          <t>BHUTAN</t>
        </is>
      </c>
      <c r="B309" s="306" t="n">
        <v>20</v>
      </c>
      <c r="M309" s="3" t="n">
        <v>20206</v>
      </c>
      <c r="N309" t="inlineStr">
        <is>
          <t>KAPKUGERWET</t>
        </is>
      </c>
      <c r="R309" s="3" t="inlineStr">
        <is>
          <t>20225</t>
        </is>
      </c>
      <c r="AE309" s="324" t="n">
        <v>591</v>
      </c>
      <c r="AF309" s="324" t="inlineStr">
        <is>
          <t>North Masaba</t>
        </is>
      </c>
      <c r="AG309" s="324" t="n">
        <v>118</v>
      </c>
      <c r="AU309" t="n">
        <v>555</v>
      </c>
      <c r="AV309" t="inlineStr">
        <is>
          <t>WABERA STREET</t>
        </is>
      </c>
      <c r="AW309" t="n">
        <v>74</v>
      </c>
      <c r="AX309" s="4" t="n"/>
    </row>
    <row r="310">
      <c r="A310" s="305" t="inlineStr">
        <is>
          <t>BOLIVIA</t>
        </is>
      </c>
      <c r="B310" s="306" t="n">
        <v>21</v>
      </c>
      <c r="M310" s="3" t="n">
        <v>30111</v>
      </c>
      <c r="N310" t="inlineStr">
        <is>
          <t>KAPNGETUNY</t>
        </is>
      </c>
      <c r="R310" s="3" t="inlineStr">
        <is>
          <t>20226</t>
        </is>
      </c>
      <c r="AE310" s="324" t="n">
        <v>592</v>
      </c>
      <c r="AF310" s="324" t="inlineStr">
        <is>
          <t>Nyamache</t>
        </is>
      </c>
      <c r="AG310" s="324" t="n">
        <v>119</v>
      </c>
      <c r="AU310" t="n">
        <v>378</v>
      </c>
      <c r="AV310" t="inlineStr">
        <is>
          <t>HEAD OFFICE</t>
        </is>
      </c>
      <c r="AW310" t="n">
        <v>42</v>
      </c>
      <c r="AX310" s="4" t="n"/>
    </row>
    <row r="311">
      <c r="A311" s="305" t="inlineStr">
        <is>
          <t>BOSNIA AND HERZEGOVINA</t>
        </is>
      </c>
      <c r="B311" s="306" t="n">
        <v>22</v>
      </c>
      <c r="M311" s="3" t="n">
        <v>30300</v>
      </c>
      <c r="N311" t="inlineStr">
        <is>
          <t>KAPSABET</t>
        </is>
      </c>
      <c r="R311" s="3" t="inlineStr">
        <is>
          <t>20228</t>
        </is>
      </c>
      <c r="AE311" s="324" t="n">
        <v>593</v>
      </c>
      <c r="AF311" s="324" t="inlineStr">
        <is>
          <t>Kisumu East</t>
        </is>
      </c>
      <c r="AG311" s="324" t="n">
        <v>120</v>
      </c>
      <c r="AU311" t="n">
        <v>380</v>
      </c>
      <c r="AV311" t="inlineStr">
        <is>
          <t>INDUSTRIAL AREA</t>
        </is>
      </c>
      <c r="AW311" t="n">
        <v>42</v>
      </c>
      <c r="AX311" s="4" t="n"/>
    </row>
    <row r="312">
      <c r="A312" s="305" t="inlineStr">
        <is>
          <t>BOTSWANA</t>
        </is>
      </c>
      <c r="B312" s="306" t="n">
        <v>23</v>
      </c>
      <c r="M312" s="3" t="n">
        <v>30208</v>
      </c>
      <c r="N312" t="inlineStr">
        <is>
          <t>KAPSARA</t>
        </is>
      </c>
      <c r="R312" s="3" t="inlineStr">
        <is>
          <t>20229</t>
        </is>
      </c>
      <c r="AE312" s="324" t="n">
        <v>594</v>
      </c>
      <c r="AF312" s="324" t="inlineStr">
        <is>
          <t>Kisumu West</t>
        </is>
      </c>
      <c r="AG312" s="324" t="n">
        <v>121</v>
      </c>
      <c r="AU312" t="n">
        <v>379</v>
      </c>
      <c r="AV312" t="inlineStr">
        <is>
          <t>PANAFRICAN HOUSE MOI AVENUE</t>
        </is>
      </c>
      <c r="AW312" t="n">
        <v>42</v>
      </c>
      <c r="AX312" s="4" t="n"/>
    </row>
    <row r="313">
      <c r="A313" s="305" t="inlineStr">
        <is>
          <t>BRAZIL</t>
        </is>
      </c>
      <c r="B313" s="306" t="n">
        <v>24</v>
      </c>
      <c r="M313" s="3" t="n">
        <v>20211</v>
      </c>
      <c r="N313" t="inlineStr">
        <is>
          <t>KAPSOIT</t>
        </is>
      </c>
      <c r="R313" s="3" t="inlineStr">
        <is>
          <t>20230</t>
        </is>
      </c>
      <c r="AE313" s="324" t="n">
        <v>595</v>
      </c>
      <c r="AF313" s="324" t="inlineStr">
        <is>
          <t>Nyakach</t>
        </is>
      </c>
      <c r="AG313" s="324" t="n">
        <v>122</v>
      </c>
      <c r="AU313" t="n">
        <v>396</v>
      </c>
      <c r="AV313" t="inlineStr">
        <is>
          <t>HEAD OFFICE</t>
        </is>
      </c>
      <c r="AW313" t="n">
        <v>55</v>
      </c>
      <c r="AX313" s="4" t="n"/>
    </row>
    <row r="314">
      <c r="A314" s="305" t="inlineStr">
        <is>
          <t>BRUNEI</t>
        </is>
      </c>
      <c r="B314" s="306" t="n">
        <v>25</v>
      </c>
      <c r="M314" s="3" t="n">
        <v>50203</v>
      </c>
      <c r="N314" t="inlineStr">
        <is>
          <t>KAPSOKWONY</t>
        </is>
      </c>
      <c r="R314" s="3" t="inlineStr">
        <is>
          <t>20300</t>
        </is>
      </c>
      <c r="AE314" s="324" t="n">
        <v>596</v>
      </c>
      <c r="AF314" s="324" t="inlineStr">
        <is>
          <t>Nyando</t>
        </is>
      </c>
      <c r="AG314" s="324" t="n">
        <v>123</v>
      </c>
      <c r="AU314" t="n">
        <v>553</v>
      </c>
      <c r="AV314" t="inlineStr">
        <is>
          <t>EASTLEIGH</t>
        </is>
      </c>
      <c r="AW314" t="n">
        <v>72</v>
      </c>
      <c r="AX314" s="4" t="n"/>
    </row>
    <row r="315">
      <c r="A315" s="305" t="inlineStr">
        <is>
          <t>BULGARIA</t>
        </is>
      </c>
      <c r="B315" s="306" t="n">
        <v>26</v>
      </c>
      <c r="M315" s="3" t="n">
        <v>30705</v>
      </c>
      <c r="N315" t="inlineStr">
        <is>
          <t>KAPSOWAR</t>
        </is>
      </c>
      <c r="R315" s="3" t="inlineStr">
        <is>
          <t>20301</t>
        </is>
      </c>
      <c r="AE315" s="324" t="n">
        <v>597</v>
      </c>
      <c r="AF315" s="324" t="inlineStr">
        <is>
          <t>Kuria East</t>
        </is>
      </c>
      <c r="AG315" s="324" t="n">
        <v>124</v>
      </c>
      <c r="AU315" t="n">
        <v>554</v>
      </c>
      <c r="AV315" t="inlineStr">
        <is>
          <t>KENYATTA AVENUE</t>
        </is>
      </c>
      <c r="AW315" t="n">
        <v>72</v>
      </c>
      <c r="AX315" s="4" t="n"/>
    </row>
    <row r="316">
      <c r="A316" s="305" t="inlineStr">
        <is>
          <t>BURKINA FASO</t>
        </is>
      </c>
      <c r="B316" s="306" t="n">
        <v>27</v>
      </c>
      <c r="M316" s="3" t="n">
        <v>30313</v>
      </c>
      <c r="N316" t="inlineStr">
        <is>
          <t>KAPSUMBEIWA</t>
        </is>
      </c>
      <c r="R316" s="3" t="inlineStr">
        <is>
          <t>20302</t>
        </is>
      </c>
      <c r="AE316" s="324" t="n">
        <v>598</v>
      </c>
      <c r="AF316" s="324" t="inlineStr">
        <is>
          <t>Kuria West</t>
        </is>
      </c>
      <c r="AG316" s="324" t="n">
        <v>125</v>
      </c>
      <c r="AU316" t="n">
        <v>938</v>
      </c>
      <c r="AV316" t="inlineStr">
        <is>
          <t>baringo</t>
        </is>
      </c>
      <c r="AW316" t="n">
        <v>339</v>
      </c>
      <c r="AX316" s="4" t="n"/>
    </row>
    <row r="317">
      <c r="A317" s="305" t="inlineStr">
        <is>
          <t>BURUNDI</t>
        </is>
      </c>
      <c r="B317" s="306" t="n">
        <v>28</v>
      </c>
      <c r="M317" s="3" t="n">
        <v>20207</v>
      </c>
      <c r="N317" t="inlineStr">
        <is>
          <t>KAPSUSER</t>
        </is>
      </c>
      <c r="R317" s="3" t="inlineStr">
        <is>
          <t>20303</t>
        </is>
      </c>
      <c r="AE317" s="324" t="n">
        <v>599</v>
      </c>
      <c r="AF317" s="324" t="inlineStr">
        <is>
          <t>Migori</t>
        </is>
      </c>
      <c r="AG317" s="324" t="n">
        <v>126</v>
      </c>
      <c r="AU317" t="n">
        <v>322</v>
      </c>
      <c r="AV317" t="inlineStr">
        <is>
          <t>HEAD OFFICE</t>
        </is>
      </c>
      <c r="AW317" t="n">
        <v>17</v>
      </c>
      <c r="AX317" s="4" t="n"/>
    </row>
    <row r="318">
      <c r="A318" s="305" t="inlineStr">
        <is>
          <t>CAMBODIA</t>
        </is>
      </c>
      <c r="B318" s="306" t="n">
        <v>29</v>
      </c>
      <c r="M318" s="3" t="n">
        <v>30114</v>
      </c>
      <c r="N318" t="inlineStr">
        <is>
          <t>KAPTAGAT</t>
        </is>
      </c>
      <c r="R318" s="3" t="inlineStr">
        <is>
          <t>20304</t>
        </is>
      </c>
      <c r="AE318" s="324" t="n">
        <v>600</v>
      </c>
      <c r="AF318" s="324" t="inlineStr">
        <is>
          <t>Nyatike</t>
        </is>
      </c>
      <c r="AG318" s="324" t="n">
        <v>127</v>
      </c>
      <c r="AU318" t="n">
        <v>323</v>
      </c>
      <c r="AV318" t="inlineStr">
        <is>
          <t>NKRUMAH ROAD BRANCH</t>
        </is>
      </c>
      <c r="AW318" t="n">
        <v>17</v>
      </c>
      <c r="AX318" s="4" t="n"/>
    </row>
    <row r="319">
      <c r="A319" s="305" t="inlineStr">
        <is>
          <t>CAMEROON</t>
        </is>
      </c>
      <c r="B319" s="306" t="n">
        <v>30</v>
      </c>
      <c r="M319" s="3" t="n">
        <v>30710</v>
      </c>
      <c r="N319" t="inlineStr">
        <is>
          <t>KAPTALAMWA</t>
        </is>
      </c>
      <c r="R319" s="3" t="inlineStr">
        <is>
          <t>20305</t>
        </is>
      </c>
      <c r="AE319" s="324" t="n">
        <v>601</v>
      </c>
      <c r="AF319" s="324" t="inlineStr">
        <is>
          <t>Rongo</t>
        </is>
      </c>
      <c r="AG319" s="324" t="n">
        <v>128</v>
      </c>
      <c r="AU319" t="n">
        <v>236</v>
      </c>
      <c r="AV319" t="inlineStr">
        <is>
          <t>HEAD OFFICE</t>
        </is>
      </c>
      <c r="AW319" t="n">
        <v>8</v>
      </c>
      <c r="AX319" s="4" t="n"/>
    </row>
    <row r="320">
      <c r="A320" s="305" t="inlineStr">
        <is>
          <t>CANADA</t>
        </is>
      </c>
      <c r="B320" s="306" t="n">
        <v>31</v>
      </c>
      <c r="M320" s="3" t="n">
        <v>50234</v>
      </c>
      <c r="N320" t="inlineStr">
        <is>
          <t>KAPTAMA</t>
        </is>
      </c>
      <c r="R320" s="3" t="inlineStr">
        <is>
          <t>20306</t>
        </is>
      </c>
      <c r="AE320" s="324" t="n">
        <v>602</v>
      </c>
      <c r="AF320" s="324" t="inlineStr">
        <is>
          <t>Uriri</t>
        </is>
      </c>
      <c r="AG320" s="324" t="n">
        <v>129</v>
      </c>
      <c r="AU320" t="n">
        <v>237</v>
      </c>
      <c r="AV320" t="inlineStr">
        <is>
          <t>KENYATTA AVENUE BRANCH</t>
        </is>
      </c>
      <c r="AW320" t="n">
        <v>8</v>
      </c>
      <c r="AX320" s="4" t="n"/>
    </row>
    <row r="321">
      <c r="A321" s="305" t="inlineStr">
        <is>
          <t>CAPE VERDE</t>
        </is>
      </c>
      <c r="B321" s="306" t="n">
        <v>32</v>
      </c>
      <c r="M321" s="3" t="n">
        <v>30701</v>
      </c>
      <c r="N321" t="inlineStr">
        <is>
          <t>KAPTARAKWA</t>
        </is>
      </c>
      <c r="R321" s="3" t="inlineStr">
        <is>
          <t>20307</t>
        </is>
      </c>
      <c r="AE321" s="324" t="n">
        <v>603</v>
      </c>
      <c r="AF321" s="324" t="inlineStr">
        <is>
          <t>Borabu</t>
        </is>
      </c>
      <c r="AG321" s="324" t="n">
        <v>130</v>
      </c>
      <c r="AU321" t="n">
        <v>238</v>
      </c>
      <c r="AV321" t="inlineStr">
        <is>
          <t>KISUMU BRANCH</t>
        </is>
      </c>
      <c r="AW321" t="n">
        <v>8</v>
      </c>
      <c r="AX321" s="4" t="n"/>
    </row>
    <row r="322">
      <c r="A322" s="305" t="inlineStr">
        <is>
          <t>CENTRAL AFRICAN REPUBLIC</t>
        </is>
      </c>
      <c r="B322" s="306" t="n">
        <v>33</v>
      </c>
      <c r="M322" s="3" t="n">
        <v>20221</v>
      </c>
      <c r="N322" t="inlineStr">
        <is>
          <t>KAPTEBENGWET</t>
        </is>
      </c>
      <c r="R322" s="3" t="inlineStr">
        <is>
          <t>20308</t>
        </is>
      </c>
      <c r="AE322" s="324" t="n">
        <v>604</v>
      </c>
      <c r="AF322" s="324" t="inlineStr">
        <is>
          <t>Manga</t>
        </is>
      </c>
      <c r="AG322" s="324" t="n">
        <v>131</v>
      </c>
      <c r="AU322" t="n">
        <v>235</v>
      </c>
      <c r="AV322" t="inlineStr">
        <is>
          <t>MALINDI BRANCH</t>
        </is>
      </c>
      <c r="AW322" t="n">
        <v>8</v>
      </c>
      <c r="AX322" s="4" t="n"/>
    </row>
    <row r="323">
      <c r="A323" s="305" t="inlineStr">
        <is>
          <t>CHAD</t>
        </is>
      </c>
      <c r="B323" s="306" t="n">
        <v>34</v>
      </c>
      <c r="M323" s="3" t="n">
        <v>30312</v>
      </c>
      <c r="N323" t="inlineStr">
        <is>
          <t>KAPTEL</t>
        </is>
      </c>
      <c r="R323" s="3" t="inlineStr">
        <is>
          <t>20309</t>
        </is>
      </c>
      <c r="AE323" s="324" t="n">
        <v>605</v>
      </c>
      <c r="AF323" s="324" t="inlineStr">
        <is>
          <t>Marani</t>
        </is>
      </c>
      <c r="AG323" s="324" t="n">
        <v>132</v>
      </c>
      <c r="AU323" t="n">
        <v>234</v>
      </c>
      <c r="AV323" t="inlineStr">
        <is>
          <t>NKRUMAH ROAD BRANCH</t>
        </is>
      </c>
      <c r="AW323" t="n">
        <v>8</v>
      </c>
      <c r="AX323" s="4" t="n"/>
    </row>
    <row r="324">
      <c r="A324" s="305" t="inlineStr">
        <is>
          <t>CHILE</t>
        </is>
      </c>
      <c r="B324" s="306" t="n">
        <v>35</v>
      </c>
      <c r="M324" s="3" t="n">
        <v>30711</v>
      </c>
      <c r="N324" t="inlineStr">
        <is>
          <t>KAPTEREN</t>
        </is>
      </c>
      <c r="R324" s="3" t="inlineStr">
        <is>
          <t>20310</t>
        </is>
      </c>
      <c r="AE324" s="324" t="n">
        <v>606</v>
      </c>
      <c r="AF324" s="324" t="inlineStr">
        <is>
          <t>Nyamira</t>
        </is>
      </c>
      <c r="AG324" s="324" t="n">
        <v>133</v>
      </c>
      <c r="AU324" t="n">
        <v>364</v>
      </c>
      <c r="AV324" t="inlineStr">
        <is>
          <t>DIANI</t>
        </is>
      </c>
      <c r="AW324" t="n">
        <v>39</v>
      </c>
      <c r="AX324" s="4" t="n"/>
    </row>
    <row r="325">
      <c r="A325" s="305" t="inlineStr">
        <is>
          <t>CHINA</t>
        </is>
      </c>
      <c r="B325" s="306" t="n">
        <v>36</v>
      </c>
      <c r="M325" s="3" t="n">
        <v>60105</v>
      </c>
      <c r="N325" t="inlineStr">
        <is>
          <t>KARABA</t>
        </is>
      </c>
      <c r="R325" s="3" t="inlineStr">
        <is>
          <t>20311</t>
        </is>
      </c>
      <c r="AE325" s="324" t="n">
        <v>436</v>
      </c>
      <c r="AF325" s="324" t="inlineStr">
        <is>
          <t>Ol Kalau</t>
        </is>
      </c>
      <c r="AG325" s="324" t="n">
        <v>134</v>
      </c>
      <c r="AU325" t="n">
        <v>366</v>
      </c>
      <c r="AV325" t="inlineStr">
        <is>
          <t>ELDORET</t>
        </is>
      </c>
      <c r="AW325" t="n">
        <v>39</v>
      </c>
      <c r="AX325" s="4" t="n"/>
    </row>
    <row r="326">
      <c r="A326" s="305" t="inlineStr">
        <is>
          <t>COLOMBIA</t>
        </is>
      </c>
      <c r="B326" s="306" t="n">
        <v>37</v>
      </c>
      <c r="M326" s="3" t="n">
        <v>10101</v>
      </c>
      <c r="N326" t="inlineStr">
        <is>
          <t>KARATINA</t>
        </is>
      </c>
      <c r="R326" s="3" t="inlineStr">
        <is>
          <t>20312</t>
        </is>
      </c>
      <c r="AE326" s="324" t="n">
        <v>437</v>
      </c>
      <c r="AF326" s="324" t="inlineStr">
        <is>
          <t>Ololunga</t>
        </is>
      </c>
      <c r="AG326" s="324" t="n">
        <v>134</v>
      </c>
      <c r="AU326" t="n">
        <v>363</v>
      </c>
      <c r="AV326" t="inlineStr">
        <is>
          <t>HEAD OFFICE</t>
        </is>
      </c>
      <c r="AW326" t="n">
        <v>39</v>
      </c>
      <c r="AX326" s="4" t="n"/>
    </row>
    <row r="327">
      <c r="A327" s="305" t="inlineStr">
        <is>
          <t>COMOROS</t>
        </is>
      </c>
      <c r="B327" s="306" t="n">
        <v>38</v>
      </c>
      <c r="M327" s="3" t="inlineStr">
        <is>
          <t>00233</t>
        </is>
      </c>
      <c r="N327" t="inlineStr">
        <is>
          <t>KARATU</t>
        </is>
      </c>
      <c r="R327" s="3" t="inlineStr">
        <is>
          <t>20313</t>
        </is>
      </c>
      <c r="AE327" s="324" t="n">
        <v>607</v>
      </c>
      <c r="AF327" s="324" t="inlineStr">
        <is>
          <t>Kitutu</t>
        </is>
      </c>
      <c r="AG327" s="324" t="n">
        <v>135</v>
      </c>
      <c r="AU327" t="n">
        <v>365</v>
      </c>
      <c r="AV327" t="inlineStr">
        <is>
          <t>KILIFI</t>
        </is>
      </c>
      <c r="AW327" t="n">
        <v>39</v>
      </c>
      <c r="AX327" s="4" t="n"/>
    </row>
    <row r="328">
      <c r="A328" s="305" t="inlineStr">
        <is>
          <t>CONGO, REPUBLIC OF THE</t>
        </is>
      </c>
      <c r="B328" s="306" t="n">
        <v>39</v>
      </c>
      <c r="M328" s="3" t="n">
        <v>10120</v>
      </c>
      <c r="N328" t="inlineStr">
        <is>
          <t>KAREMENO</t>
        </is>
      </c>
      <c r="R328" s="3" t="inlineStr">
        <is>
          <t>20314</t>
        </is>
      </c>
      <c r="AE328" s="324" t="n">
        <v>608</v>
      </c>
      <c r="AF328" s="324" t="inlineStr">
        <is>
          <t>Bondo</t>
        </is>
      </c>
      <c r="AG328" s="324" t="n">
        <v>136</v>
      </c>
      <c r="AU328" t="n">
        <v>400</v>
      </c>
      <c r="AV328" t="inlineStr">
        <is>
          <t>BIASHARA</t>
        </is>
      </c>
      <c r="AW328" t="n">
        <v>57</v>
      </c>
      <c r="AX328" s="4" t="n"/>
    </row>
    <row r="329">
      <c r="A329" s="305" t="inlineStr">
        <is>
          <t>CONGO, DEMOCRATIC REPUBLIC OF THE</t>
        </is>
      </c>
      <c r="B329" s="306" t="n">
        <v>40</v>
      </c>
      <c r="M329" s="3" t="inlineStr">
        <is>
          <t>00502</t>
        </is>
      </c>
      <c r="N329" t="inlineStr">
        <is>
          <t>KAREN</t>
        </is>
      </c>
      <c r="R329" s="3" t="inlineStr">
        <is>
          <t>20316</t>
        </is>
      </c>
      <c r="AE329" s="324" t="n">
        <v>609</v>
      </c>
      <c r="AF329" s="324" t="inlineStr">
        <is>
          <t>Rarieda</t>
        </is>
      </c>
      <c r="AG329" s="324" t="n">
        <v>137</v>
      </c>
      <c r="AU329" t="n">
        <v>399</v>
      </c>
      <c r="AV329" t="inlineStr">
        <is>
          <t>CLEARING CENTRE</t>
        </is>
      </c>
      <c r="AW329" t="n">
        <v>57</v>
      </c>
      <c r="AX329" s="4" t="n"/>
    </row>
    <row r="330">
      <c r="A330" s="305" t="inlineStr">
        <is>
          <t>COSTA RICA</t>
        </is>
      </c>
      <c r="B330" s="306" t="n">
        <v>41</v>
      </c>
      <c r="M330" s="3" t="n">
        <v>10121</v>
      </c>
      <c r="N330" t="inlineStr">
        <is>
          <t>KARIMA</t>
        </is>
      </c>
      <c r="R330" s="3" t="inlineStr">
        <is>
          <t>20317</t>
        </is>
      </c>
      <c r="AE330" s="324" t="n">
        <v>610</v>
      </c>
      <c r="AF330" s="324" t="inlineStr">
        <is>
          <t>Siaya</t>
        </is>
      </c>
      <c r="AG330" s="324" t="n">
        <v>138</v>
      </c>
      <c r="AU330" t="n">
        <v>397</v>
      </c>
      <c r="AV330" t="inlineStr">
        <is>
          <t>HEAD OFFICE</t>
        </is>
      </c>
      <c r="AW330" t="n">
        <v>57</v>
      </c>
      <c r="AX330" s="4" t="n"/>
    </row>
    <row r="331">
      <c r="A331" s="305" t="inlineStr">
        <is>
          <t>COTE DIVOIRE</t>
        </is>
      </c>
      <c r="B331" s="306" t="n">
        <v>42</v>
      </c>
      <c r="M331" s="3" t="n">
        <v>60107</v>
      </c>
      <c r="N331" t="inlineStr">
        <is>
          <t>KARINGARI</t>
        </is>
      </c>
      <c r="R331" s="3" t="inlineStr">
        <is>
          <t>20318</t>
        </is>
      </c>
      <c r="AE331" s="324" t="n">
        <v>133</v>
      </c>
      <c r="AF331" s="324" t="inlineStr">
        <is>
          <t>Kabarnet</t>
        </is>
      </c>
      <c r="AG331" s="324" t="n">
        <v>139</v>
      </c>
      <c r="AU331" t="n">
        <v>398</v>
      </c>
      <c r="AV331" t="inlineStr">
        <is>
          <t>KOINANGE STREET</t>
        </is>
      </c>
      <c r="AW331" t="n">
        <v>57</v>
      </c>
      <c r="AX331" s="4" t="n"/>
    </row>
    <row r="332">
      <c r="A332" s="305" t="inlineStr">
        <is>
          <t>CROATIA</t>
        </is>
      </c>
      <c r="B332" s="306" t="n">
        <v>43</v>
      </c>
      <c r="M332" s="3" t="inlineStr">
        <is>
          <t>00615</t>
        </is>
      </c>
      <c r="N332" t="inlineStr">
        <is>
          <t>KARIOBANGI</t>
        </is>
      </c>
      <c r="R332" s="3" t="inlineStr">
        <is>
          <t>20319</t>
        </is>
      </c>
      <c r="AE332" s="324" t="n">
        <v>134</v>
      </c>
      <c r="AF332" s="324" t="inlineStr">
        <is>
          <t>Kabartonjo</t>
        </is>
      </c>
      <c r="AG332" s="324" t="n">
        <v>140</v>
      </c>
      <c r="AU332" t="n">
        <v>401</v>
      </c>
      <c r="AV332" t="inlineStr">
        <is>
          <t>MOMBASA BRANCH</t>
        </is>
      </c>
      <c r="AW332" t="n">
        <v>57</v>
      </c>
      <c r="AX332" s="4" t="n"/>
    </row>
    <row r="333">
      <c r="A333" s="305" t="inlineStr">
        <is>
          <t>CUBA</t>
        </is>
      </c>
      <c r="B333" s="306" t="n">
        <v>44</v>
      </c>
      <c r="M333" s="3" t="n">
        <v>40505</v>
      </c>
      <c r="N333" t="inlineStr">
        <is>
          <t>KAROTA</t>
        </is>
      </c>
      <c r="R333" s="3" t="inlineStr">
        <is>
          <t>20320</t>
        </is>
      </c>
      <c r="AE333" s="324" t="n">
        <v>72</v>
      </c>
      <c r="AF333" s="324" t="inlineStr">
        <is>
          <t>El Nur</t>
        </is>
      </c>
      <c r="AG333" s="324" t="n">
        <v>141</v>
      </c>
      <c r="AU333" t="n">
        <v>404</v>
      </c>
      <c r="AV333" t="inlineStr">
        <is>
          <t>ONGATA RONGAI</t>
        </is>
      </c>
      <c r="AW333" t="n">
        <v>57</v>
      </c>
      <c r="AX333" s="4" t="n"/>
    </row>
    <row r="334">
      <c r="A334" s="305" t="inlineStr">
        <is>
          <t>CYPRUS</t>
        </is>
      </c>
      <c r="B334" s="306" t="n">
        <v>45</v>
      </c>
      <c r="M334" s="3" t="n">
        <v>10308</v>
      </c>
      <c r="N334" t="inlineStr">
        <is>
          <t>KARUMANDI</t>
        </is>
      </c>
      <c r="R334" s="3" t="inlineStr">
        <is>
          <t>20321</t>
        </is>
      </c>
      <c r="AE334" s="324" t="n">
        <v>75</v>
      </c>
      <c r="AF334" s="324" t="inlineStr">
        <is>
          <t>Eldas</t>
        </is>
      </c>
      <c r="AG334" s="324" t="n">
        <v>141</v>
      </c>
      <c r="AU334" t="n">
        <v>402</v>
      </c>
      <c r="AV334" t="inlineStr">
        <is>
          <t>PARKLANDS</t>
        </is>
      </c>
      <c r="AW334" t="n">
        <v>57</v>
      </c>
      <c r="AX334" s="4" t="n"/>
    </row>
    <row r="335">
      <c r="A335" s="305" t="inlineStr">
        <is>
          <t>CZECH REPUBLIC</t>
        </is>
      </c>
      <c r="B335" s="306" t="n">
        <v>46</v>
      </c>
      <c r="M335" s="3" t="n">
        <v>40401</v>
      </c>
      <c r="N335" t="inlineStr">
        <is>
          <t>KARUNGU</t>
        </is>
      </c>
      <c r="R335" s="3" t="inlineStr">
        <is>
          <t>20322</t>
        </is>
      </c>
      <c r="AE335" s="324" t="n">
        <v>262</v>
      </c>
      <c r="AF335" s="324" t="inlineStr">
        <is>
          <t>Lakole South</t>
        </is>
      </c>
      <c r="AG335" s="324" t="n">
        <v>141</v>
      </c>
      <c r="AU335" t="n">
        <v>403</v>
      </c>
      <c r="AV335" t="inlineStr">
        <is>
          <t>WILSON AIRPORT</t>
        </is>
      </c>
      <c r="AW335" t="n">
        <v>57</v>
      </c>
      <c r="AX335" s="4" t="n"/>
    </row>
    <row r="336">
      <c r="A336" s="305" t="inlineStr">
        <is>
          <t>DENMARK</t>
        </is>
      </c>
      <c r="B336" s="306" t="n">
        <v>47</v>
      </c>
      <c r="M336" s="3" t="inlineStr">
        <is>
          <t>00219</t>
        </is>
      </c>
      <c r="N336" t="inlineStr">
        <is>
          <t>KARURI</t>
        </is>
      </c>
      <c r="R336" s="3" t="inlineStr">
        <is>
          <t>20323</t>
        </is>
      </c>
      <c r="AE336" s="324" t="n">
        <v>326</v>
      </c>
      <c r="AF336" s="324" t="inlineStr">
        <is>
          <t>Marigat</t>
        </is>
      </c>
      <c r="AG336" s="324" t="n">
        <v>141</v>
      </c>
      <c r="AU336" t="n">
        <v>448</v>
      </c>
      <c r="AV336" t="inlineStr">
        <is>
          <t>BUNGOMA</t>
        </is>
      </c>
      <c r="AW336" t="n">
        <v>66</v>
      </c>
      <c r="AX336" s="4" t="n"/>
    </row>
    <row r="337">
      <c r="A337" s="305" t="inlineStr">
        <is>
          <t>DJIBOUTI</t>
        </is>
      </c>
      <c r="B337" s="306" t="n">
        <v>48</v>
      </c>
      <c r="M337" s="3" t="n">
        <v>60117</v>
      </c>
      <c r="N337" t="inlineStr">
        <is>
          <t>KARURUMO</t>
        </is>
      </c>
      <c r="R337" s="3" t="inlineStr">
        <is>
          <t>20324</t>
        </is>
      </c>
      <c r="AE337" s="324" t="n">
        <v>74</v>
      </c>
      <c r="AF337" s="324" t="inlineStr">
        <is>
          <t>Eldama Ravine</t>
        </is>
      </c>
      <c r="AG337" s="324" t="n">
        <v>142</v>
      </c>
      <c r="AU337" t="n">
        <v>429</v>
      </c>
      <c r="AV337" t="inlineStr">
        <is>
          <t>BURU BURU</t>
        </is>
      </c>
      <c r="AW337" t="n">
        <v>66</v>
      </c>
      <c r="AX337" s="4" t="n"/>
    </row>
    <row r="338">
      <c r="A338" s="305" t="inlineStr">
        <is>
          <t>DOMINICA</t>
        </is>
      </c>
      <c r="B338" s="306" t="n">
        <v>49</v>
      </c>
      <c r="M338" s="3" t="inlineStr">
        <is>
          <t>00608</t>
        </is>
      </c>
      <c r="N338" t="inlineStr">
        <is>
          <t>KASARANI</t>
        </is>
      </c>
      <c r="R338" s="3" t="inlineStr">
        <is>
          <t>20326</t>
        </is>
      </c>
      <c r="AE338" s="324" t="n">
        <v>325</v>
      </c>
      <c r="AF338" s="324" t="inlineStr">
        <is>
          <t>Marigat</t>
        </is>
      </c>
      <c r="AG338" s="324" t="n">
        <v>143</v>
      </c>
      <c r="AU338" t="n">
        <v>431</v>
      </c>
      <c r="AV338" t="inlineStr">
        <is>
          <t>ELDORET</t>
        </is>
      </c>
      <c r="AW338" t="n">
        <v>66</v>
      </c>
      <c r="AX338" s="4" t="n"/>
    </row>
    <row r="339">
      <c r="A339" s="305" t="inlineStr">
        <is>
          <t>DOMINICAN REPUBLIC</t>
        </is>
      </c>
      <c r="B339" s="306" t="n">
        <v>50</v>
      </c>
      <c r="M339" s="3" t="n">
        <v>80307</v>
      </c>
      <c r="N339" t="inlineStr">
        <is>
          <t>KASIGAU</t>
        </is>
      </c>
      <c r="R339" s="3" t="inlineStr">
        <is>
          <t>20328</t>
        </is>
      </c>
      <c r="AE339" s="324" t="n">
        <v>356</v>
      </c>
      <c r="AF339" s="324" t="inlineStr">
        <is>
          <t>Mogotio</t>
        </is>
      </c>
      <c r="AG339" s="324" t="n">
        <v>144</v>
      </c>
      <c r="AU339" t="n">
        <v>430</v>
      </c>
      <c r="AV339" t="inlineStr">
        <is>
          <t>EMBU</t>
        </is>
      </c>
      <c r="AW339" t="n">
        <v>66</v>
      </c>
      <c r="AX339" s="4" t="n"/>
    </row>
    <row r="340">
      <c r="A340" s="305" t="inlineStr">
        <is>
          <t>EAST TIMOR</t>
        </is>
      </c>
      <c r="B340" s="306" t="n">
        <v>51</v>
      </c>
      <c r="M340" s="3" t="n">
        <v>90123</v>
      </c>
      <c r="N340" t="inlineStr">
        <is>
          <t>KASIKEU</t>
        </is>
      </c>
      <c r="R340" s="3" t="inlineStr">
        <is>
          <t>20400</t>
        </is>
      </c>
      <c r="AE340" s="324" t="n">
        <v>23</v>
      </c>
      <c r="AF340" s="324" t="inlineStr">
        <is>
          <t>Bomet</t>
        </is>
      </c>
      <c r="AG340" s="324" t="n">
        <v>145</v>
      </c>
      <c r="AU340" t="n">
        <v>423</v>
      </c>
      <c r="AV340" t="inlineStr">
        <is>
          <t>HEAD OFFICE</t>
        </is>
      </c>
      <c r="AW340" t="n">
        <v>66</v>
      </c>
      <c r="AX340" s="4" t="n"/>
    </row>
    <row r="341">
      <c r="A341" s="305" t="inlineStr">
        <is>
          <t>ECUADOR</t>
        </is>
      </c>
      <c r="B341" s="306" t="n">
        <v>52</v>
      </c>
      <c r="M341" s="3" t="n">
        <v>90106</v>
      </c>
      <c r="N341" t="inlineStr">
        <is>
          <t>KATANGI</t>
        </is>
      </c>
      <c r="R341" s="3" t="inlineStr">
        <is>
          <t>20402</t>
        </is>
      </c>
      <c r="AE341" s="324" t="n">
        <v>273</v>
      </c>
      <c r="AF341" s="324" t="inlineStr">
        <is>
          <t>Longisa</t>
        </is>
      </c>
      <c r="AG341" s="324" t="n">
        <v>145</v>
      </c>
      <c r="AU341" t="n">
        <v>444</v>
      </c>
      <c r="AV341" t="inlineStr">
        <is>
          <t>ISIOLO</t>
        </is>
      </c>
      <c r="AW341" t="n">
        <v>66</v>
      </c>
      <c r="AX341" s="4" t="n"/>
    </row>
    <row r="342">
      <c r="A342" s="305" t="inlineStr">
        <is>
          <t>EGYPT</t>
        </is>
      </c>
      <c r="B342" s="306" t="n">
        <v>53</v>
      </c>
      <c r="M342" s="3" t="n">
        <v>90105</v>
      </c>
      <c r="N342" t="inlineStr">
        <is>
          <t>KATHIANI</t>
        </is>
      </c>
      <c r="R342" s="3" t="inlineStr">
        <is>
          <t>20403</t>
        </is>
      </c>
      <c r="AE342" s="324" t="n">
        <v>370</v>
      </c>
      <c r="AF342" s="324" t="inlineStr">
        <is>
          <t>Mulot</t>
        </is>
      </c>
      <c r="AG342" s="324" t="n">
        <v>145</v>
      </c>
      <c r="AU342" t="n">
        <v>449</v>
      </c>
      <c r="AV342" t="inlineStr">
        <is>
          <t>KAJIADO</t>
        </is>
      </c>
      <c r="AW342" t="n">
        <v>66</v>
      </c>
      <c r="AX342" s="4" t="n"/>
    </row>
    <row r="343">
      <c r="A343" s="305" t="inlineStr">
        <is>
          <t>EL SALVADOR</t>
        </is>
      </c>
      <c r="B343" s="306" t="n">
        <v>54</v>
      </c>
      <c r="M343" s="3" t="n">
        <v>90302</v>
      </c>
      <c r="N343" t="inlineStr">
        <is>
          <t>KATHONZWENI</t>
        </is>
      </c>
      <c r="R343" s="3" t="inlineStr">
        <is>
          <t>20404</t>
        </is>
      </c>
      <c r="AB343" s="324" t="n"/>
      <c r="AC343" s="324" t="n"/>
      <c r="AD343" s="324" t="n"/>
      <c r="AE343" s="324" t="n">
        <v>169</v>
      </c>
      <c r="AF343" s="324" t="inlineStr">
        <is>
          <t>Kapkatet</t>
        </is>
      </c>
      <c r="AG343" s="324" t="n">
        <v>146</v>
      </c>
      <c r="AU343" t="n">
        <v>453</v>
      </c>
      <c r="AV343" t="inlineStr">
        <is>
          <t>KENGELENI</t>
        </is>
      </c>
      <c r="AW343" t="n">
        <v>66</v>
      </c>
      <c r="AX343" s="4" t="n"/>
    </row>
    <row r="344">
      <c r="A344" s="305" t="inlineStr">
        <is>
          <t>EQUATORIAL GUINEA</t>
        </is>
      </c>
      <c r="B344" s="306" t="n">
        <v>55</v>
      </c>
      <c r="M344" s="3" t="n">
        <v>60406</v>
      </c>
      <c r="N344" t="inlineStr">
        <is>
          <t>KATHWANA</t>
        </is>
      </c>
      <c r="R344" s="3" t="inlineStr">
        <is>
          <t>20405</t>
        </is>
      </c>
      <c r="AE344" s="324" t="n">
        <v>265</v>
      </c>
      <c r="AF344" s="324" t="inlineStr">
        <is>
          <t>Litein</t>
        </is>
      </c>
      <c r="AG344" s="324" t="n">
        <v>146</v>
      </c>
      <c r="AU344" t="n">
        <v>426</v>
      </c>
      <c r="AV344" t="inlineStr">
        <is>
          <t>KENYATTA AVU</t>
        </is>
      </c>
      <c r="AW344" t="n">
        <v>66</v>
      </c>
      <c r="AX344" s="4" t="n"/>
    </row>
    <row r="345">
      <c r="A345" s="305" t="inlineStr">
        <is>
          <t>ERITREA</t>
        </is>
      </c>
      <c r="B345" s="306" t="n">
        <v>56</v>
      </c>
      <c r="M345" s="3" t="n">
        <v>30508</v>
      </c>
      <c r="N345" t="inlineStr">
        <is>
          <t>KATILU</t>
        </is>
      </c>
      <c r="R345" s="3" t="inlineStr">
        <is>
          <t>20406</t>
        </is>
      </c>
      <c r="AE345" s="324" t="n">
        <v>275</v>
      </c>
      <c r="AF345" s="324" t="inlineStr">
        <is>
          <t>Loret</t>
        </is>
      </c>
      <c r="AG345" s="324" t="n">
        <v>146</v>
      </c>
      <c r="AU345" t="n">
        <v>436</v>
      </c>
      <c r="AV345" t="inlineStr">
        <is>
          <t>KENYATTA MARKET</t>
        </is>
      </c>
      <c r="AW345" t="n">
        <v>66</v>
      </c>
      <c r="AX345" s="4" t="n"/>
    </row>
    <row r="346">
      <c r="A346" s="305" t="inlineStr">
        <is>
          <t>ESTONIA</t>
        </is>
      </c>
      <c r="B346" s="306" t="n">
        <v>57</v>
      </c>
      <c r="M346" s="3" t="n">
        <v>40118</v>
      </c>
      <c r="N346" t="inlineStr">
        <is>
          <t>KATITO</t>
        </is>
      </c>
      <c r="R346" s="3" t="inlineStr">
        <is>
          <t>20407</t>
        </is>
      </c>
      <c r="AE346" s="324" t="n">
        <v>355</v>
      </c>
      <c r="AF346" s="324" t="inlineStr">
        <is>
          <t>Mogogosiek</t>
        </is>
      </c>
      <c r="AG346" s="324" t="n">
        <v>146</v>
      </c>
      <c r="AU346" t="n">
        <v>433</v>
      </c>
      <c r="AV346" t="inlineStr">
        <is>
          <t>KERICHO</t>
        </is>
      </c>
      <c r="AW346" t="n">
        <v>66</v>
      </c>
      <c r="AX346" s="4" t="n"/>
    </row>
    <row r="347">
      <c r="A347" s="305" t="inlineStr">
        <is>
          <t>ETHIOPIA</t>
        </is>
      </c>
      <c r="B347" s="306" t="n">
        <v>58</v>
      </c>
      <c r="M347" s="3" t="n">
        <v>90404</v>
      </c>
      <c r="N347" t="inlineStr">
        <is>
          <t>KATSE</t>
        </is>
      </c>
      <c r="R347" s="3" t="inlineStr">
        <is>
          <t>20409</t>
        </is>
      </c>
      <c r="AE347" s="324" t="n">
        <v>45</v>
      </c>
      <c r="AF347" s="324" t="inlineStr">
        <is>
          <t>Chebilat</t>
        </is>
      </c>
      <c r="AG347" s="324" t="n">
        <v>147</v>
      </c>
      <c r="AU347" t="n">
        <v>447</v>
      </c>
      <c r="AV347" t="inlineStr">
        <is>
          <t>KIBWEZI</t>
        </is>
      </c>
      <c r="AW347" t="n">
        <v>66</v>
      </c>
      <c r="AX347" s="4" t="n"/>
    </row>
    <row r="348">
      <c r="A348" s="305" t="inlineStr">
        <is>
          <t>FIJI</t>
        </is>
      </c>
      <c r="B348" s="306" t="n">
        <v>59</v>
      </c>
      <c r="M348" s="3" t="n">
        <v>90217</v>
      </c>
      <c r="N348" t="inlineStr">
        <is>
          <t>KATUTU</t>
        </is>
      </c>
      <c r="R348" s="3" t="inlineStr">
        <is>
          <t>20410</t>
        </is>
      </c>
      <c r="AE348" s="324" t="n">
        <v>170</v>
      </c>
      <c r="AF348" s="324" t="inlineStr">
        <is>
          <t>Kaplong</t>
        </is>
      </c>
      <c r="AG348" s="324" t="n">
        <v>147</v>
      </c>
      <c r="AU348" t="n">
        <v>454</v>
      </c>
      <c r="AV348" t="inlineStr">
        <is>
          <t>KILIMANI</t>
        </is>
      </c>
      <c r="AW348" t="n">
        <v>66</v>
      </c>
      <c r="AX348" s="4" t="n"/>
    </row>
    <row r="349">
      <c r="A349" s="305" t="inlineStr">
        <is>
          <t>FINLAND</t>
        </is>
      </c>
      <c r="B349" s="306" t="n">
        <v>60</v>
      </c>
      <c r="M349" s="3" t="n">
        <v>90107</v>
      </c>
      <c r="N349" t="inlineStr">
        <is>
          <t>KAVIANI</t>
        </is>
      </c>
      <c r="R349" s="3" t="inlineStr">
        <is>
          <t>20411</t>
        </is>
      </c>
      <c r="AE349" s="324" t="n">
        <v>481</v>
      </c>
      <c r="AF349" s="324" t="inlineStr">
        <is>
          <t>Sotik</t>
        </is>
      </c>
      <c r="AG349" s="324" t="n">
        <v>147</v>
      </c>
      <c r="AU349" t="n">
        <v>437</v>
      </c>
      <c r="AV349" t="inlineStr">
        <is>
          <t>KISII</t>
        </is>
      </c>
      <c r="AW349" t="n">
        <v>66</v>
      </c>
      <c r="AX349" s="4" t="n"/>
    </row>
    <row r="350">
      <c r="A350" s="305" t="inlineStr">
        <is>
          <t>FRANCE</t>
        </is>
      </c>
      <c r="B350" s="306" t="n">
        <v>61</v>
      </c>
      <c r="M350" s="3" t="n">
        <v>90405</v>
      </c>
      <c r="N350" t="inlineStr">
        <is>
          <t>KAVUTI</t>
        </is>
      </c>
      <c r="R350" s="3" t="inlineStr">
        <is>
          <t>20412</t>
        </is>
      </c>
      <c r="AE350" s="324" t="n">
        <v>131</v>
      </c>
      <c r="AF350" s="324" t="inlineStr">
        <is>
          <t>Iten</t>
        </is>
      </c>
      <c r="AG350" s="324" t="n">
        <v>148</v>
      </c>
      <c r="AU350" t="n">
        <v>432</v>
      </c>
      <c r="AV350" t="inlineStr">
        <is>
          <t>KISUMU</t>
        </is>
      </c>
      <c r="AW350" t="n">
        <v>66</v>
      </c>
      <c r="AX350" s="4" t="n"/>
    </row>
    <row r="351">
      <c r="A351" s="305" t="inlineStr">
        <is>
          <t>GABON</t>
        </is>
      </c>
      <c r="B351" s="306" t="n">
        <v>62</v>
      </c>
      <c r="M351" s="3" t="n">
        <v>10219</v>
      </c>
      <c r="N351" t="inlineStr">
        <is>
          <t>KAWERU</t>
        </is>
      </c>
      <c r="R351" s="3" t="inlineStr">
        <is>
          <t>20413</t>
        </is>
      </c>
      <c r="AE351" s="324" t="n">
        <v>174</v>
      </c>
      <c r="AF351" s="324" t="inlineStr">
        <is>
          <t>Kapsowar</t>
        </is>
      </c>
      <c r="AG351" s="324" t="n">
        <v>149</v>
      </c>
      <c r="AU351" t="n">
        <v>446</v>
      </c>
      <c r="AV351" t="inlineStr">
        <is>
          <t>KITALE</t>
        </is>
      </c>
      <c r="AW351" t="n">
        <v>66</v>
      </c>
      <c r="AX351" s="4" t="n"/>
    </row>
    <row r="352">
      <c r="A352" s="305" t="inlineStr">
        <is>
          <t>THE GAMBIA</t>
        </is>
      </c>
      <c r="B352" s="306" t="n">
        <v>63</v>
      </c>
      <c r="M352" s="3" t="inlineStr">
        <is>
          <t>00518</t>
        </is>
      </c>
      <c r="N352" t="inlineStr">
        <is>
          <t>KAYOLE</t>
        </is>
      </c>
      <c r="R352" s="3" t="inlineStr">
        <is>
          <t>20414</t>
        </is>
      </c>
      <c r="AE352" s="324" t="n">
        <v>611</v>
      </c>
      <c r="AF352" s="324" t="inlineStr">
        <is>
          <t>Loitoktok</t>
        </is>
      </c>
      <c r="AG352" s="324" t="n">
        <v>150</v>
      </c>
      <c r="AU352" t="n">
        <v>438</v>
      </c>
      <c r="AV352" t="inlineStr">
        <is>
          <t>KITUI</t>
        </is>
      </c>
      <c r="AW352" t="n">
        <v>66</v>
      </c>
      <c r="AX352" s="4" t="n"/>
    </row>
    <row r="353">
      <c r="A353" s="305" t="inlineStr">
        <is>
          <t>GEORGIA</t>
        </is>
      </c>
      <c r="B353" s="306" t="n">
        <v>64</v>
      </c>
      <c r="M353" s="3" t="n">
        <v>40506</v>
      </c>
      <c r="N353" t="inlineStr">
        <is>
          <t>KEBIRIGO</t>
        </is>
      </c>
      <c r="R353" s="3" t="inlineStr">
        <is>
          <t>20415</t>
        </is>
      </c>
      <c r="AE353" s="324" t="n">
        <v>612</v>
      </c>
      <c r="AF353" s="324" t="inlineStr">
        <is>
          <t>Kajiado North</t>
        </is>
      </c>
      <c r="AG353" s="324" t="n">
        <v>151</v>
      </c>
      <c r="AU353" t="n">
        <v>441</v>
      </c>
      <c r="AV353" t="inlineStr">
        <is>
          <t>KONGOWEA</t>
        </is>
      </c>
      <c r="AW353" t="n">
        <v>66</v>
      </c>
      <c r="AX353" s="4" t="n"/>
    </row>
    <row r="354">
      <c r="A354" s="305" t="inlineStr">
        <is>
          <t>GERMANY</t>
        </is>
      </c>
      <c r="B354" s="306" t="n">
        <v>65</v>
      </c>
      <c r="M354" s="3" t="n">
        <v>20220</v>
      </c>
      <c r="N354" t="inlineStr">
        <is>
          <t>KEDOWA</t>
        </is>
      </c>
      <c r="R354" s="3" t="inlineStr">
        <is>
          <t>20416</t>
        </is>
      </c>
      <c r="AE354" s="324" t="n">
        <v>613</v>
      </c>
      <c r="AF354" s="324" t="inlineStr">
        <is>
          <t>Kajiado Central</t>
        </is>
      </c>
      <c r="AG354" s="324" t="n">
        <v>152</v>
      </c>
      <c r="AU354" t="n">
        <v>439</v>
      </c>
      <c r="AV354" t="inlineStr">
        <is>
          <t>MACHAKOS</t>
        </is>
      </c>
      <c r="AW354" t="n">
        <v>66</v>
      </c>
      <c r="AX354" s="4" t="n"/>
    </row>
    <row r="355">
      <c r="A355" s="305" t="inlineStr">
        <is>
          <t>GHANA</t>
        </is>
      </c>
      <c r="B355" s="306" t="n">
        <v>66</v>
      </c>
      <c r="M355" s="3" t="n">
        <v>20501</v>
      </c>
      <c r="N355" t="inlineStr">
        <is>
          <t>KEEKOROK</t>
        </is>
      </c>
      <c r="R355" s="3" t="inlineStr">
        <is>
          <t>20417</t>
        </is>
      </c>
      <c r="AE355" s="324" t="n">
        <v>614</v>
      </c>
      <c r="AF355" s="324" t="inlineStr">
        <is>
          <t>Kajiado South</t>
        </is>
      </c>
      <c r="AG355" s="324" t="n">
        <v>153</v>
      </c>
      <c r="AU355" t="n">
        <v>445</v>
      </c>
      <c r="AV355" t="inlineStr">
        <is>
          <t>MERU</t>
        </is>
      </c>
      <c r="AW355" t="n">
        <v>66</v>
      </c>
      <c r="AX355" s="4" t="n"/>
    </row>
    <row r="356">
      <c r="A356" s="305" t="inlineStr">
        <is>
          <t>GREECE</t>
        </is>
      </c>
      <c r="B356" s="306" t="n">
        <v>67</v>
      </c>
      <c r="M356" s="3" t="n">
        <v>40515</v>
      </c>
      <c r="N356" t="inlineStr">
        <is>
          <t>KEGOGI</t>
        </is>
      </c>
      <c r="R356" s="3" t="inlineStr">
        <is>
          <t>20419</t>
        </is>
      </c>
      <c r="AE356" s="324" t="n">
        <v>26</v>
      </c>
      <c r="AF356" s="324" t="inlineStr">
        <is>
          <t>Brooke</t>
        </is>
      </c>
      <c r="AG356" s="324" t="n">
        <v>154</v>
      </c>
      <c r="AU356" t="n">
        <v>451</v>
      </c>
      <c r="AV356" t="inlineStr">
        <is>
          <t>MOI AVENUE</t>
        </is>
      </c>
      <c r="AW356" t="n">
        <v>66</v>
      </c>
      <c r="AX356" s="4" t="n"/>
    </row>
    <row r="357">
      <c r="A357" s="305" t="inlineStr">
        <is>
          <t>GRENADA</t>
        </is>
      </c>
      <c r="B357" s="306" t="n">
        <v>68</v>
      </c>
      <c r="M357" s="3" t="n">
        <v>40416</v>
      </c>
      <c r="N357" t="inlineStr">
        <is>
          <t>KEGONGA</t>
        </is>
      </c>
      <c r="R357" s="3" t="inlineStr">
        <is>
          <t>20420</t>
        </is>
      </c>
      <c r="AE357" s="324" t="n">
        <v>172</v>
      </c>
      <c r="AF357" s="324" t="inlineStr">
        <is>
          <t>Kapsoit</t>
        </is>
      </c>
      <c r="AG357" s="324" t="n">
        <v>154</v>
      </c>
      <c r="AU357" t="n">
        <v>434</v>
      </c>
      <c r="AV357" t="inlineStr">
        <is>
          <t>MOI AVENUE</t>
        </is>
      </c>
      <c r="AW357" t="n">
        <v>66</v>
      </c>
      <c r="AX357" s="4" t="n"/>
    </row>
    <row r="358">
      <c r="A358" s="305" t="inlineStr">
        <is>
          <t>GUATEMALA</t>
        </is>
      </c>
      <c r="B358" s="306" t="n">
        <v>69</v>
      </c>
      <c r="M358" s="3" t="n">
        <v>40413</v>
      </c>
      <c r="N358" t="inlineStr">
        <is>
          <t>KEHANCHA</t>
        </is>
      </c>
      <c r="R358" s="3" t="inlineStr">
        <is>
          <t>20422</t>
        </is>
      </c>
      <c r="AE358" s="324" t="n">
        <v>175</v>
      </c>
      <c r="AF358" s="324" t="inlineStr">
        <is>
          <t>Kapsuser</t>
        </is>
      </c>
      <c r="AG358" s="324" t="n">
        <v>154</v>
      </c>
      <c r="AU358" t="n">
        <v>425</v>
      </c>
      <c r="AV358" t="inlineStr">
        <is>
          <t>MOMBASA</t>
        </is>
      </c>
      <c r="AW358" t="n">
        <v>66</v>
      </c>
      <c r="AX358" s="4" t="n"/>
    </row>
    <row r="359">
      <c r="A359" s="305" t="inlineStr">
        <is>
          <t>GUATEMALA</t>
        </is>
      </c>
      <c r="B359" s="306" t="n">
        <v>70</v>
      </c>
      <c r="M359" s="3" t="n">
        <v>40301</v>
      </c>
      <c r="N359" t="inlineStr">
        <is>
          <t>KENDU BAY</t>
        </is>
      </c>
      <c r="R359" s="3" t="inlineStr">
        <is>
          <t>20500</t>
        </is>
      </c>
      <c r="AE359" s="324" t="n">
        <v>192</v>
      </c>
      <c r="AF359" s="324" t="inlineStr">
        <is>
          <t>Kericho</t>
        </is>
      </c>
      <c r="AG359" s="324" t="n">
        <v>154</v>
      </c>
      <c r="AU359" t="n">
        <v>450</v>
      </c>
      <c r="AV359" t="inlineStr">
        <is>
          <t>MTWAPA</t>
        </is>
      </c>
      <c r="AW359" t="n">
        <v>66</v>
      </c>
      <c r="AX359" s="4" t="n"/>
    </row>
    <row r="360">
      <c r="A360" s="305" t="inlineStr">
        <is>
          <t>GUINEA</t>
        </is>
      </c>
      <c r="B360" s="306" t="n">
        <v>71</v>
      </c>
      <c r="M360" s="3" t="inlineStr">
        <is>
          <t>00202</t>
        </is>
      </c>
      <c r="N360" t="inlineStr">
        <is>
          <t>KENYATTA N HOSPITAL</t>
        </is>
      </c>
      <c r="R360" s="3" t="inlineStr">
        <is>
          <t>20501</t>
        </is>
      </c>
      <c r="AE360" s="324" t="n">
        <v>50</v>
      </c>
      <c r="AF360" s="324" t="inlineStr">
        <is>
          <t>Chepsion</t>
        </is>
      </c>
      <c r="AG360" s="324" t="n">
        <v>155</v>
      </c>
      <c r="AU360" t="n">
        <v>452</v>
      </c>
      <c r="AV360" t="inlineStr">
        <is>
          <t>MWEA</t>
        </is>
      </c>
      <c r="AW360" t="n">
        <v>66</v>
      </c>
      <c r="AX360" s="4" t="n"/>
    </row>
    <row r="361">
      <c r="A361" s="305" t="inlineStr">
        <is>
          <t>GUYANA</t>
        </is>
      </c>
      <c r="B361" s="306" t="n">
        <v>72</v>
      </c>
      <c r="M361" s="3" t="inlineStr">
        <is>
          <t>00609</t>
        </is>
      </c>
      <c r="N361" t="inlineStr">
        <is>
          <t>KENYATTA UNIV</t>
        </is>
      </c>
      <c r="R361" s="3" t="inlineStr">
        <is>
          <t>20502</t>
        </is>
      </c>
      <c r="AE361" s="324" t="n">
        <v>190</v>
      </c>
      <c r="AF361" s="324" t="inlineStr">
        <is>
          <t>Kedowa</t>
        </is>
      </c>
      <c r="AG361" s="324" t="n">
        <v>155</v>
      </c>
      <c r="AU361" t="n">
        <v>442</v>
      </c>
      <c r="AV361" t="inlineStr">
        <is>
          <t>NAIVASHA</t>
        </is>
      </c>
      <c r="AW361" t="n">
        <v>66</v>
      </c>
      <c r="AX361" s="4" t="n"/>
    </row>
    <row r="362">
      <c r="A362" s="305" t="inlineStr">
        <is>
          <t>HAITI</t>
        </is>
      </c>
      <c r="B362" s="306" t="n">
        <v>73</v>
      </c>
      <c r="M362" s="3" t="n">
        <v>40211</v>
      </c>
      <c r="N362" t="inlineStr">
        <is>
          <t>KENYENYA</t>
        </is>
      </c>
      <c r="R362" s="3" t="inlineStr">
        <is>
          <t>20503</t>
        </is>
      </c>
      <c r="AE362" s="324" t="n">
        <v>233</v>
      </c>
      <c r="AF362" s="324" t="inlineStr">
        <is>
          <t>Kipkelion</t>
        </is>
      </c>
      <c r="AG362" s="324" t="n">
        <v>155</v>
      </c>
      <c r="AU362" t="n">
        <v>424</v>
      </c>
      <c r="AV362" t="inlineStr">
        <is>
          <t>NAIVASHA RD</t>
        </is>
      </c>
      <c r="AW362" t="n">
        <v>66</v>
      </c>
      <c r="AX362" s="4" t="n"/>
    </row>
    <row r="363">
      <c r="A363" s="305" t="inlineStr">
        <is>
          <t>HONDURAS</t>
        </is>
      </c>
      <c r="B363" s="306" t="n">
        <v>74</v>
      </c>
      <c r="M363" s="3" t="n">
        <v>10220</v>
      </c>
      <c r="N363" t="inlineStr">
        <is>
          <t>KENYENYAINI</t>
        </is>
      </c>
      <c r="R363" s="3" t="inlineStr">
        <is>
          <t>20504</t>
        </is>
      </c>
      <c r="AE363" s="324" t="n">
        <v>272</v>
      </c>
      <c r="AF363" s="324" t="inlineStr">
        <is>
          <t>Londiani</t>
        </is>
      </c>
      <c r="AG363" s="324" t="n">
        <v>155</v>
      </c>
      <c r="AU363" t="n">
        <v>427</v>
      </c>
      <c r="AV363" t="inlineStr">
        <is>
          <t>NAKURU</t>
        </is>
      </c>
      <c r="AW363" t="n">
        <v>66</v>
      </c>
      <c r="AX363" s="4" t="n"/>
    </row>
    <row r="364">
      <c r="A364" s="305" t="inlineStr">
        <is>
          <t>HUNGARY</t>
        </is>
      </c>
      <c r="B364" s="306" t="n">
        <v>75</v>
      </c>
      <c r="M364" s="3" t="n">
        <v>20200</v>
      </c>
      <c r="N364" t="inlineStr">
        <is>
          <t>KERICHO</t>
        </is>
      </c>
      <c r="R364" s="3" t="inlineStr">
        <is>
          <t>20505</t>
        </is>
      </c>
      <c r="AE364" s="324" t="n">
        <v>37</v>
      </c>
      <c r="AF364" s="324" t="inlineStr">
        <is>
          <t>Burguret</t>
        </is>
      </c>
      <c r="AG364" s="324" t="n">
        <v>156</v>
      </c>
      <c r="AU364" t="n">
        <v>440</v>
      </c>
      <c r="AV364" t="inlineStr">
        <is>
          <t>NANYUKI</t>
        </is>
      </c>
      <c r="AW364" t="n">
        <v>66</v>
      </c>
      <c r="AX364" s="4" t="n"/>
    </row>
    <row r="365">
      <c r="A365" s="305" t="inlineStr">
        <is>
          <t>ICELAND</t>
        </is>
      </c>
      <c r="B365" s="306" t="n">
        <v>76</v>
      </c>
      <c r="M365" s="3" t="n">
        <v>40202</v>
      </c>
      <c r="N365" t="inlineStr">
        <is>
          <t>KEROKA</t>
        </is>
      </c>
      <c r="R365" s="3" t="inlineStr">
        <is>
          <t>20506</t>
        </is>
      </c>
      <c r="AE365" s="324" t="n">
        <v>406</v>
      </c>
      <c r="AF365" s="324" t="inlineStr">
        <is>
          <t>Nanyuki</t>
        </is>
      </c>
      <c r="AG365" s="324" t="n">
        <v>156</v>
      </c>
      <c r="AU365" t="n">
        <v>443</v>
      </c>
      <c r="AV365" t="inlineStr">
        <is>
          <t>NYAHURURU</t>
        </is>
      </c>
      <c r="AW365" t="n">
        <v>66</v>
      </c>
      <c r="AX365" s="4" t="n"/>
    </row>
    <row r="366">
      <c r="A366" s="305" t="inlineStr">
        <is>
          <t>INDIA</t>
        </is>
      </c>
      <c r="B366" s="306" t="n">
        <v>77</v>
      </c>
      <c r="M366" s="3" t="n">
        <v>10300</v>
      </c>
      <c r="N366" t="inlineStr">
        <is>
          <t>KERUGOYA</t>
        </is>
      </c>
      <c r="R366" s="3" t="inlineStr">
        <is>
          <t>20507</t>
        </is>
      </c>
      <c r="AE366" s="324" t="n">
        <v>66</v>
      </c>
      <c r="AF366" s="324" t="inlineStr">
        <is>
          <t>Doldol</t>
        </is>
      </c>
      <c r="AG366" s="324" t="n">
        <v>157</v>
      </c>
      <c r="AU366" t="n">
        <v>428</v>
      </c>
      <c r="AV366" t="inlineStr">
        <is>
          <t>NYERI</t>
        </is>
      </c>
      <c r="AW366" t="n">
        <v>66</v>
      </c>
      <c r="AX366" s="4" t="n"/>
    </row>
    <row r="367">
      <c r="A367" s="305" t="inlineStr">
        <is>
          <t>INDONESIA</t>
        </is>
      </c>
      <c r="B367" s="306" t="n">
        <v>78</v>
      </c>
      <c r="M367" s="3" t="n">
        <v>30215</v>
      </c>
      <c r="N367" t="inlineStr">
        <is>
          <t>KESOGON</t>
        </is>
      </c>
      <c r="R367" s="3" t="inlineStr">
        <is>
          <t>20600</t>
        </is>
      </c>
      <c r="AE367" s="324" t="n">
        <v>228</v>
      </c>
      <c r="AF367" s="324" t="inlineStr">
        <is>
          <t>Kinamba</t>
        </is>
      </c>
      <c r="AG367" s="324" t="n">
        <v>158</v>
      </c>
      <c r="AU367" t="n">
        <v>435</v>
      </c>
      <c r="AV367" t="inlineStr">
        <is>
          <t>THIKA</t>
        </is>
      </c>
      <c r="AW367" t="n">
        <v>66</v>
      </c>
      <c r="AX367" s="4" t="n"/>
    </row>
    <row r="368">
      <c r="A368" s="305" t="inlineStr">
        <is>
          <t>IRAN</t>
        </is>
      </c>
      <c r="B368" s="306" t="n">
        <v>79</v>
      </c>
      <c r="M368" s="3" t="n">
        <v>40212</v>
      </c>
      <c r="N368" t="inlineStr">
        <is>
          <t>KEUMBU</t>
        </is>
      </c>
      <c r="R368" s="3" t="inlineStr">
        <is>
          <t>20601</t>
        </is>
      </c>
      <c r="AE368" s="324" t="n">
        <v>327</v>
      </c>
      <c r="AF368" s="324" t="inlineStr">
        <is>
          <t>Marmanet</t>
        </is>
      </c>
      <c r="AG368" s="324" t="n">
        <v>158</v>
      </c>
      <c r="AU368" t="n">
        <v>83</v>
      </c>
      <c r="AV368" t="inlineStr">
        <is>
          <t>BOMET BRANCH</t>
        </is>
      </c>
      <c r="AW368" t="n">
        <v>1</v>
      </c>
      <c r="AX368" s="4" t="n"/>
    </row>
    <row r="369">
      <c r="A369" s="305" t="inlineStr">
        <is>
          <t>IRAQ</t>
        </is>
      </c>
      <c r="B369" s="306" t="n">
        <v>80</v>
      </c>
      <c r="M369" s="3" t="n">
        <v>60108</v>
      </c>
      <c r="N369" t="inlineStr">
        <is>
          <t>KEVOTE</t>
        </is>
      </c>
      <c r="R369" s="3" t="inlineStr">
        <is>
          <t>20602</t>
        </is>
      </c>
      <c r="AE369" s="324" t="n">
        <v>421</v>
      </c>
      <c r="AF369" s="324" t="inlineStr">
        <is>
          <t>Ngarua</t>
        </is>
      </c>
      <c r="AG369" s="324" t="n">
        <v>158</v>
      </c>
      <c r="AU369" t="n">
        <v>98</v>
      </c>
      <c r="AV369" t="inlineStr">
        <is>
          <t>BUNGOMA BRANCH</t>
        </is>
      </c>
      <c r="AW369" t="n">
        <v>1</v>
      </c>
      <c r="AX369" s="4" t="n"/>
    </row>
    <row r="370">
      <c r="A370" s="305" t="inlineStr">
        <is>
          <t>IRELAND</t>
        </is>
      </c>
      <c r="B370" s="306" t="n">
        <v>81</v>
      </c>
      <c r="M370" s="3" t="n">
        <v>50104</v>
      </c>
      <c r="N370" t="inlineStr">
        <is>
          <t>KHAYEGA</t>
        </is>
      </c>
      <c r="R370" s="3" t="inlineStr">
        <is>
          <t>20603</t>
        </is>
      </c>
      <c r="AE370" s="324" t="n">
        <v>446</v>
      </c>
      <c r="AF370" s="324" t="inlineStr">
        <is>
          <t>Rumuruti</t>
        </is>
      </c>
      <c r="AG370" s="324" t="n">
        <v>158</v>
      </c>
      <c r="AU370" t="n">
        <v>73</v>
      </c>
      <c r="AV370" t="inlineStr">
        <is>
          <t>CANNON HOUSE BRANCH</t>
        </is>
      </c>
      <c r="AW370" t="n">
        <v>1</v>
      </c>
      <c r="AX370" s="4" t="n"/>
    </row>
    <row r="371">
      <c r="A371" s="305" t="inlineStr">
        <is>
          <t>ISRAEL</t>
        </is>
      </c>
      <c r="B371" s="306" t="n">
        <v>82</v>
      </c>
      <c r="M371" s="3" t="n">
        <v>50306</v>
      </c>
      <c r="N371" t="inlineStr">
        <is>
          <t>KHUMUSALABA</t>
        </is>
      </c>
      <c r="R371" s="3" t="inlineStr">
        <is>
          <t>20604</t>
        </is>
      </c>
      <c r="AE371" s="324" t="n">
        <v>474</v>
      </c>
      <c r="AF371" s="324" t="inlineStr">
        <is>
          <t>Sipili</t>
        </is>
      </c>
      <c r="AG371" s="324" t="n">
        <v>158</v>
      </c>
      <c r="AU371" t="n">
        <v>43</v>
      </c>
      <c r="AV371" t="inlineStr">
        <is>
          <t>CARD CENTRE BRANCH</t>
        </is>
      </c>
      <c r="AW371" t="n">
        <v>1</v>
      </c>
      <c r="AX371" s="4" t="n"/>
    </row>
    <row r="372">
      <c r="A372" s="305" t="inlineStr">
        <is>
          <t>ITALY</t>
        </is>
      </c>
      <c r="B372" s="306" t="n">
        <v>83</v>
      </c>
      <c r="M372" s="3" t="n">
        <v>50135</v>
      </c>
      <c r="N372" t="inlineStr">
        <is>
          <t>KHWISERO</t>
        </is>
      </c>
      <c r="R372" s="3" t="inlineStr">
        <is>
          <t>20605</t>
        </is>
      </c>
      <c r="AE372" s="324" t="n">
        <v>615</v>
      </c>
      <c r="AF372" s="324" t="inlineStr">
        <is>
          <t>Laikipia Central</t>
        </is>
      </c>
      <c r="AG372" s="324" t="n">
        <v>159</v>
      </c>
      <c r="AU372" t="n">
        <v>97</v>
      </c>
      <c r="AV372" t="inlineStr">
        <is>
          <t>CHUKA BRANCH</t>
        </is>
      </c>
      <c r="AW372" t="n">
        <v>1</v>
      </c>
      <c r="AX372" s="4" t="n"/>
    </row>
    <row r="373">
      <c r="A373" s="305" t="inlineStr">
        <is>
          <t>JAMAICA</t>
        </is>
      </c>
      <c r="B373" s="306" t="n">
        <v>84</v>
      </c>
      <c r="M373" s="3" t="n">
        <v>10122</v>
      </c>
      <c r="N373" t="inlineStr">
        <is>
          <t>KIAMARIGA</t>
        </is>
      </c>
      <c r="R373" s="3" t="inlineStr">
        <is>
          <t>30100</t>
        </is>
      </c>
      <c r="AE373" s="324" t="n">
        <v>409</v>
      </c>
      <c r="AF373" s="324" t="inlineStr">
        <is>
          <t>Narumoru</t>
        </is>
      </c>
      <c r="AG373" s="324" t="n">
        <v>159</v>
      </c>
      <c r="AU373" t="n">
        <v>24</v>
      </c>
      <c r="AV373" t="inlineStr">
        <is>
          <t>CITY CENTRE BRANCH</t>
        </is>
      </c>
      <c r="AW373" t="n">
        <v>1</v>
      </c>
      <c r="AX373" s="4" t="n"/>
    </row>
    <row r="374">
      <c r="A374" s="305" t="inlineStr">
        <is>
          <t>JAPAN</t>
        </is>
      </c>
      <c r="B374" s="306" t="n">
        <v>85</v>
      </c>
      <c r="M374" s="3" t="n">
        <v>60109</v>
      </c>
      <c r="N374" t="inlineStr">
        <is>
          <t>KIAMBERE</t>
        </is>
      </c>
      <c r="R374" s="3" t="inlineStr">
        <is>
          <t>30101</t>
        </is>
      </c>
      <c r="AE374" s="324" t="n">
        <v>431</v>
      </c>
      <c r="AF374" s="324" t="inlineStr">
        <is>
          <t>Nyahururu</t>
        </is>
      </c>
      <c r="AG374" s="324" t="n">
        <v>160</v>
      </c>
      <c r="AU374" t="n">
        <v>2</v>
      </c>
      <c r="AV374" t="inlineStr">
        <is>
          <t>EASTLEIGH BRANCH</t>
        </is>
      </c>
      <c r="AW374" t="n">
        <v>1</v>
      </c>
      <c r="AX374" s="4" t="n"/>
    </row>
    <row r="375">
      <c r="A375" s="305" t="inlineStr">
        <is>
          <t>JORDAN</t>
        </is>
      </c>
      <c r="B375" s="306" t="n">
        <v>86</v>
      </c>
      <c r="M375" s="3" t="inlineStr">
        <is>
          <t>00900</t>
        </is>
      </c>
      <c r="N375" t="inlineStr">
        <is>
          <t>KIAMBU</t>
        </is>
      </c>
      <c r="R375" s="3" t="inlineStr">
        <is>
          <t>30102</t>
        </is>
      </c>
      <c r="AE375" s="324" t="n">
        <v>73</v>
      </c>
      <c r="AF375" s="324" t="inlineStr">
        <is>
          <t>Elbugon</t>
        </is>
      </c>
      <c r="AG375" s="324" t="n">
        <v>161</v>
      </c>
      <c r="AU375" t="n">
        <v>67</v>
      </c>
      <c r="AV375" t="inlineStr">
        <is>
          <t>ELDAMA RAVINE</t>
        </is>
      </c>
      <c r="AW375" t="n">
        <v>1</v>
      </c>
      <c r="AX375" s="4" t="n"/>
    </row>
    <row r="376">
      <c r="A376" s="305" t="inlineStr">
        <is>
          <t>KAZAKHSTAN</t>
        </is>
      </c>
      <c r="B376" s="306" t="n">
        <v>87</v>
      </c>
      <c r="M376" s="3" t="inlineStr">
        <is>
          <t>00224</t>
        </is>
      </c>
      <c r="N376" t="inlineStr">
        <is>
          <t>KIAMBURURU</t>
        </is>
      </c>
      <c r="R376" s="3" t="inlineStr">
        <is>
          <t>30103</t>
        </is>
      </c>
      <c r="AE376" s="324" t="n">
        <v>357</v>
      </c>
      <c r="AF376" s="324" t="inlineStr">
        <is>
          <t>Molo</t>
        </is>
      </c>
      <c r="AG376" s="324" t="n">
        <v>161</v>
      </c>
      <c r="AU376" t="n">
        <v>15</v>
      </c>
      <c r="AV376" t="inlineStr">
        <is>
          <t>ELDORET BRANCH</t>
        </is>
      </c>
      <c r="AW376" t="n">
        <v>1</v>
      </c>
      <c r="AX376" s="4" t="n"/>
    </row>
    <row r="377">
      <c r="A377" s="305" t="inlineStr">
        <is>
          <t>KIRIBATI</t>
        </is>
      </c>
      <c r="B377" s="306" t="n">
        <v>89</v>
      </c>
      <c r="M377" s="3" t="n">
        <v>40213</v>
      </c>
      <c r="N377" t="inlineStr">
        <is>
          <t>KIAMOKAMA</t>
        </is>
      </c>
      <c r="R377" s="3" t="inlineStr">
        <is>
          <t>30104</t>
        </is>
      </c>
      <c r="AE377" s="324" t="n">
        <v>107</v>
      </c>
      <c r="AF377" s="324" t="inlineStr">
        <is>
          <t>Gilgil</t>
        </is>
      </c>
      <c r="AG377" s="324" t="n">
        <v>162</v>
      </c>
      <c r="AU377" t="n">
        <v>70</v>
      </c>
      <c r="AV377" t="inlineStr">
        <is>
          <t>ELDORET WEST</t>
        </is>
      </c>
      <c r="AW377" t="n">
        <v>1</v>
      </c>
      <c r="AX377" s="4" t="n"/>
    </row>
    <row r="378">
      <c r="A378" s="305" t="inlineStr">
        <is>
          <t>KOREA, NORTH</t>
        </is>
      </c>
      <c r="B378" s="306" t="n">
        <v>90</v>
      </c>
      <c r="M378" s="3" t="n">
        <v>60110</v>
      </c>
      <c r="N378" t="inlineStr">
        <is>
          <t>KIAMURINGA</t>
        </is>
      </c>
      <c r="R378" s="3" t="inlineStr">
        <is>
          <t>30105</t>
        </is>
      </c>
      <c r="AE378" s="324" t="n">
        <v>274</v>
      </c>
      <c r="AF378" s="324" t="inlineStr">
        <is>
          <t>Longonot</t>
        </is>
      </c>
      <c r="AG378" s="324" t="n">
        <v>162</v>
      </c>
      <c r="AU378" t="n">
        <v>22</v>
      </c>
      <c r="AV378" t="inlineStr">
        <is>
          <t>EMBU BRANCH</t>
        </is>
      </c>
      <c r="AW378" t="n">
        <v>1</v>
      </c>
      <c r="AX378" s="4" t="n"/>
    </row>
    <row r="379">
      <c r="A379" s="305" t="inlineStr">
        <is>
          <t>KOREA, SOUTH</t>
        </is>
      </c>
      <c r="B379" s="306" t="n">
        <v>91</v>
      </c>
      <c r="M379" s="3" t="n">
        <v>10309</v>
      </c>
      <c r="N379" t="inlineStr">
        <is>
          <t>KIAMUTUGA</t>
        </is>
      </c>
      <c r="R379" s="3" t="inlineStr">
        <is>
          <t>30106</t>
        </is>
      </c>
      <c r="AE379" s="324" t="n">
        <v>397</v>
      </c>
      <c r="AF379" s="324" t="inlineStr">
        <is>
          <t>Naivasha</t>
        </is>
      </c>
      <c r="AG379" s="324" t="n">
        <v>162</v>
      </c>
      <c r="AU379" t="n">
        <v>71</v>
      </c>
      <c r="AV379" t="inlineStr">
        <is>
          <t>GARISSA BRANCH</t>
        </is>
      </c>
      <c r="AW379" t="n">
        <v>1</v>
      </c>
      <c r="AX379" s="4" t="n"/>
    </row>
    <row r="380">
      <c r="A380" s="305" t="inlineStr">
        <is>
          <t>KOSOVO</t>
        </is>
      </c>
      <c r="B380" s="306" t="n">
        <v>92</v>
      </c>
      <c r="M380" s="3" t="inlineStr">
        <is>
          <t>00236</t>
        </is>
      </c>
      <c r="N380" t="inlineStr">
        <is>
          <t>KIAMWANGI</t>
        </is>
      </c>
      <c r="R380" s="3" t="inlineStr">
        <is>
          <t>30107</t>
        </is>
      </c>
      <c r="AE380" s="324" t="n">
        <v>398</v>
      </c>
      <c r="AF380" s="324" t="inlineStr">
        <is>
          <t>Nakuru</t>
        </is>
      </c>
      <c r="AG380" s="324" t="n">
        <v>163</v>
      </c>
      <c r="AU380" t="n">
        <v>49</v>
      </c>
      <c r="AV380" t="inlineStr">
        <is>
          <t>GIGIRI U.N.E.P. BRANCH</t>
        </is>
      </c>
      <c r="AW380" t="n">
        <v>1</v>
      </c>
      <c r="AX380" s="4" t="n"/>
    </row>
    <row r="381">
      <c r="A381" s="305" t="inlineStr">
        <is>
          <t>KUWAIT</t>
        </is>
      </c>
      <c r="B381" s="306" t="n">
        <v>93</v>
      </c>
      <c r="M381" s="3" t="n">
        <v>10123</v>
      </c>
      <c r="N381" t="inlineStr">
        <is>
          <t>KIANDU</t>
        </is>
      </c>
      <c r="R381" s="3" t="inlineStr">
        <is>
          <t>30108</t>
        </is>
      </c>
      <c r="AE381" s="324" t="n">
        <v>13</v>
      </c>
      <c r="AF381" s="324" t="inlineStr">
        <is>
          <t>Bahati</t>
        </is>
      </c>
      <c r="AG381" s="324" t="n">
        <v>164</v>
      </c>
      <c r="AU381" t="n">
        <v>63</v>
      </c>
      <c r="AV381" t="inlineStr">
        <is>
          <t>GILGIL BRANCH</t>
        </is>
      </c>
      <c r="AW381" t="n">
        <v>1</v>
      </c>
      <c r="AX381" s="4" t="n"/>
    </row>
    <row r="382">
      <c r="A382" s="305" t="inlineStr">
        <is>
          <t>KYRGYZSTAN</t>
        </is>
      </c>
      <c r="B382" s="306" t="n">
        <v>94</v>
      </c>
      <c r="M382" s="3" t="n">
        <v>60602</v>
      </c>
      <c r="N382" t="inlineStr">
        <is>
          <t>KIANJAI</t>
        </is>
      </c>
      <c r="R382" s="3" t="inlineStr">
        <is>
          <t>30109</t>
        </is>
      </c>
      <c r="AE382" s="324" t="n">
        <v>240</v>
      </c>
      <c r="AF382" s="324" t="inlineStr">
        <is>
          <t>Kisoko</t>
        </is>
      </c>
      <c r="AG382" s="324" t="n">
        <v>164</v>
      </c>
      <c r="AU382" t="n">
        <v>94</v>
      </c>
      <c r="AV382" t="inlineStr">
        <is>
          <t>GITHUNGURI</t>
        </is>
      </c>
      <c r="AW382" t="n">
        <v>1</v>
      </c>
      <c r="AX382" s="4" t="n"/>
    </row>
    <row r="383">
      <c r="A383" s="305" t="inlineStr">
        <is>
          <t>LAOS</t>
        </is>
      </c>
      <c r="B383" s="306" t="n">
        <v>95</v>
      </c>
      <c r="M383" s="3" t="n">
        <v>60111</v>
      </c>
      <c r="N383" t="inlineStr">
        <is>
          <t>KIANJOKOMA</t>
        </is>
      </c>
      <c r="R383" s="3" t="inlineStr">
        <is>
          <t>30110</t>
        </is>
      </c>
      <c r="AE383" s="324" t="n">
        <v>309</v>
      </c>
      <c r="AF383" s="324" t="inlineStr">
        <is>
          <t>Malanga</t>
        </is>
      </c>
      <c r="AG383" s="324" t="n">
        <v>164</v>
      </c>
      <c r="AU383" t="n">
        <v>60</v>
      </c>
      <c r="AV383" t="inlineStr">
        <is>
          <t>HARAMBEE PLAZA BRANCH</t>
        </is>
      </c>
      <c r="AW383" t="n">
        <v>1</v>
      </c>
      <c r="AX383" s="4" t="n"/>
    </row>
    <row r="384">
      <c r="A384" s="305" t="inlineStr">
        <is>
          <t>LATVIA</t>
        </is>
      </c>
      <c r="B384" s="306" t="n">
        <v>96</v>
      </c>
      <c r="M384" s="3" t="n">
        <v>10301</v>
      </c>
      <c r="N384" t="inlineStr">
        <is>
          <t>KIANYAGA</t>
        </is>
      </c>
      <c r="R384" s="3" t="inlineStr">
        <is>
          <t>30111</t>
        </is>
      </c>
      <c r="AE384" s="324" t="n">
        <v>410</v>
      </c>
      <c r="AF384" s="324" t="inlineStr">
        <is>
          <t>Nasira</t>
        </is>
      </c>
      <c r="AG384" s="324" t="n">
        <v>164</v>
      </c>
      <c r="AU384" t="n">
        <v>4</v>
      </c>
      <c r="AV384" t="inlineStr">
        <is>
          <t>HEAD OFFICE</t>
        </is>
      </c>
      <c r="AW384" t="n">
        <v>1</v>
      </c>
      <c r="AX384" s="4" t="n"/>
    </row>
    <row r="385">
      <c r="A385" s="305" t="inlineStr">
        <is>
          <t>LEBANON</t>
        </is>
      </c>
      <c r="B385" s="306" t="n">
        <v>97</v>
      </c>
      <c r="M385" s="3" t="n">
        <v>10124</v>
      </c>
      <c r="N385" t="inlineStr">
        <is>
          <t>KIAWARIGI</t>
        </is>
      </c>
      <c r="R385" s="3" t="inlineStr">
        <is>
          <t>30112</t>
        </is>
      </c>
      <c r="AE385" s="324" t="n">
        <v>418</v>
      </c>
      <c r="AF385" s="324" t="inlineStr">
        <is>
          <t>Ndundori</t>
        </is>
      </c>
      <c r="AG385" s="324" t="n">
        <v>164</v>
      </c>
      <c r="AU385" t="n">
        <v>50</v>
      </c>
      <c r="AV385" t="inlineStr">
        <is>
          <t>HOLA BRANCH</t>
        </is>
      </c>
      <c r="AW385" t="n">
        <v>1</v>
      </c>
      <c r="AX385" s="4" t="n"/>
    </row>
    <row r="386">
      <c r="A386" s="305" t="inlineStr">
        <is>
          <t>LESOTHO</t>
        </is>
      </c>
      <c r="B386" s="306" t="n">
        <v>98</v>
      </c>
      <c r="M386" s="3" t="inlineStr">
        <is>
          <t>00237</t>
        </is>
      </c>
      <c r="N386" t="inlineStr">
        <is>
          <t>KIBICHO</t>
        </is>
      </c>
      <c r="R386" s="3" t="inlineStr">
        <is>
          <t>30113</t>
        </is>
      </c>
      <c r="AE386" s="324" t="n">
        <v>483</v>
      </c>
      <c r="AF386" s="324" t="inlineStr">
        <is>
          <t>Subukia</t>
        </is>
      </c>
      <c r="AG386" s="324" t="n">
        <v>164</v>
      </c>
      <c r="AU386" t="n">
        <v>72</v>
      </c>
      <c r="AV386" t="inlineStr">
        <is>
          <t>HOMA BAY BRANCH</t>
        </is>
      </c>
      <c r="AW386" t="n">
        <v>1</v>
      </c>
      <c r="AX386" s="4" t="n"/>
    </row>
    <row r="387">
      <c r="A387" s="305" t="inlineStr">
        <is>
          <t>LIBERIA</t>
        </is>
      </c>
      <c r="B387" s="306" t="n">
        <v>99</v>
      </c>
      <c r="M387" s="3" t="n">
        <v>40119</v>
      </c>
      <c r="N387" t="inlineStr">
        <is>
          <t>KIBIGORI</t>
        </is>
      </c>
      <c r="R387" s="3" t="inlineStr">
        <is>
          <t>30114</t>
        </is>
      </c>
      <c r="AE387" s="324" t="n">
        <v>489</v>
      </c>
      <c r="AF387" s="324" t="inlineStr">
        <is>
          <t>Tanga Kona</t>
        </is>
      </c>
      <c r="AG387" s="324" t="n">
        <v>164</v>
      </c>
      <c r="AU387" t="n">
        <v>19</v>
      </c>
      <c r="AV387" t="inlineStr">
        <is>
          <t>IND. AREA/GATEWAY/MASHARIKI</t>
        </is>
      </c>
      <c r="AW387" t="n">
        <v>1</v>
      </c>
      <c r="AX387" s="4" t="n"/>
    </row>
    <row r="388">
      <c r="A388" s="305" t="inlineStr">
        <is>
          <t>LIBYA</t>
        </is>
      </c>
      <c r="B388" s="306" t="n">
        <v>100</v>
      </c>
      <c r="M388" s="3" t="n">
        <v>60201</v>
      </c>
      <c r="N388" t="inlineStr">
        <is>
          <t>KIBIRICHIA</t>
        </is>
      </c>
      <c r="R388" s="3" t="inlineStr">
        <is>
          <t>30115</t>
        </is>
      </c>
      <c r="AE388" s="324" t="n">
        <v>68</v>
      </c>
      <c r="AF388" s="324" t="inlineStr">
        <is>
          <t>Egerton</t>
        </is>
      </c>
      <c r="AG388" s="324" t="n">
        <v>165</v>
      </c>
      <c r="AU388" t="n">
        <v>62</v>
      </c>
      <c r="AV388" t="inlineStr">
        <is>
          <t>ITEN BRANCH</t>
        </is>
      </c>
      <c r="AW388" t="n">
        <v>1</v>
      </c>
      <c r="AX388" s="4" t="n"/>
    </row>
    <row r="389">
      <c r="A389" s="305" t="inlineStr">
        <is>
          <t>LIECHTENSTEIN</t>
        </is>
      </c>
      <c r="B389" s="306" t="n">
        <v>101</v>
      </c>
      <c r="M389" s="3" t="n">
        <v>10141</v>
      </c>
      <c r="N389" t="inlineStr">
        <is>
          <t>KIBIRIGWI</t>
        </is>
      </c>
      <c r="R389" s="3" t="inlineStr">
        <is>
          <t>30116</t>
        </is>
      </c>
      <c r="AE389" s="324" t="n">
        <v>428</v>
      </c>
      <c r="AF389" s="324" t="inlineStr">
        <is>
          <t>Njoro</t>
        </is>
      </c>
      <c r="AG389" s="324" t="n">
        <v>165</v>
      </c>
      <c r="AU389" t="n">
        <v>42</v>
      </c>
      <c r="AV389" t="inlineStr">
        <is>
          <t>JOGOO/BURU BURU B</t>
        </is>
      </c>
      <c r="AW389" t="n">
        <v>1</v>
      </c>
      <c r="AX389" s="4" t="n"/>
    </row>
    <row r="390">
      <c r="A390" s="305" t="inlineStr">
        <is>
          <t>LITHUANIA</t>
        </is>
      </c>
      <c r="B390" s="306" t="n">
        <v>102</v>
      </c>
      <c r="M390" s="3" t="n">
        <v>40120</v>
      </c>
      <c r="N390" t="inlineStr">
        <is>
          <t>KIBOS</t>
        </is>
      </c>
      <c r="R390" s="3" t="inlineStr">
        <is>
          <t>30117</t>
        </is>
      </c>
      <c r="AE390" s="324" t="n">
        <v>171</v>
      </c>
      <c r="AF390" s="324" t="inlineStr">
        <is>
          <t>Kapsabet</t>
        </is>
      </c>
      <c r="AG390" s="324" t="n">
        <v>166</v>
      </c>
      <c r="AU390" t="n">
        <v>10</v>
      </c>
      <c r="AV390" t="inlineStr">
        <is>
          <t>K.I.C.C. BRANCH</t>
        </is>
      </c>
      <c r="AW390" t="n">
        <v>1</v>
      </c>
      <c r="AX390" s="4" t="n"/>
    </row>
    <row r="391">
      <c r="A391" s="305" t="inlineStr">
        <is>
          <t>LUXEMBOURG</t>
        </is>
      </c>
      <c r="B391" s="306" t="n">
        <v>103</v>
      </c>
      <c r="M391" s="3" t="n">
        <v>60112</v>
      </c>
      <c r="N391" t="inlineStr">
        <is>
          <t>KIBUGU</t>
        </is>
      </c>
      <c r="R391" s="3" t="inlineStr">
        <is>
          <t>30118</t>
        </is>
      </c>
      <c r="AE391" s="324" t="n">
        <v>402</v>
      </c>
      <c r="AF391" s="324" t="inlineStr">
        <is>
          <t>Nandi Hills</t>
        </is>
      </c>
      <c r="AG391" s="324" t="n">
        <v>167</v>
      </c>
      <c r="AU391" t="n">
        <v>36</v>
      </c>
      <c r="AV391" t="inlineStr">
        <is>
          <t>KAJIADO BRANCH</t>
        </is>
      </c>
      <c r="AW391" t="n">
        <v>1</v>
      </c>
      <c r="AX391" s="4" t="n"/>
    </row>
    <row r="392">
      <c r="A392" s="305" t="inlineStr">
        <is>
          <t>MACEDONIA</t>
        </is>
      </c>
      <c r="B392" s="306" t="n">
        <v>104</v>
      </c>
      <c r="M392" s="3" t="n">
        <v>90137</v>
      </c>
      <c r="N392" t="inlineStr">
        <is>
          <t>KIBWEZI</t>
        </is>
      </c>
      <c r="R392" s="3" t="inlineStr">
        <is>
          <t>30119</t>
        </is>
      </c>
      <c r="AE392" s="324" t="n">
        <v>137</v>
      </c>
      <c r="AF392" s="324" t="inlineStr">
        <is>
          <t>Kabiyet</t>
        </is>
      </c>
      <c r="AG392" s="324" t="n">
        <v>168</v>
      </c>
      <c r="AU392" t="n">
        <v>16</v>
      </c>
      <c r="AV392" t="inlineStr">
        <is>
          <t>KAKAMEGA BRANCH</t>
        </is>
      </c>
      <c r="AW392" t="n">
        <v>1</v>
      </c>
      <c r="AX392" s="4" t="n"/>
    </row>
    <row r="393">
      <c r="A393" s="305" t="inlineStr">
        <is>
          <t>MADAGASCAR</t>
        </is>
      </c>
      <c r="B393" s="306" t="n">
        <v>105</v>
      </c>
      <c r="M393" s="3" t="n">
        <v>10102</v>
      </c>
      <c r="N393" t="inlineStr">
        <is>
          <t>KIGANJO</t>
        </is>
      </c>
      <c r="R393" s="3" t="inlineStr">
        <is>
          <t>30120</t>
        </is>
      </c>
      <c r="AE393" s="324" t="n">
        <v>247</v>
      </c>
      <c r="AF393" s="324" t="inlineStr">
        <is>
          <t>Kobujoy</t>
        </is>
      </c>
      <c r="AG393" s="324" t="n">
        <v>169</v>
      </c>
      <c r="AU393" t="n">
        <v>23</v>
      </c>
      <c r="AV393" t="inlineStr">
        <is>
          <t>KANGEMA BRANCH</t>
        </is>
      </c>
      <c r="AW393" t="n">
        <v>1</v>
      </c>
      <c r="AX393" s="4" t="n"/>
    </row>
    <row r="394">
      <c r="A394" s="305" t="inlineStr">
        <is>
          <t>MALAWI</t>
        </is>
      </c>
      <c r="B394" s="306" t="n">
        <v>106</v>
      </c>
      <c r="M394" s="3" t="n">
        <v>10203</v>
      </c>
      <c r="N394" t="inlineStr">
        <is>
          <t>KIGUMO</t>
        </is>
      </c>
      <c r="R394" s="3" t="inlineStr">
        <is>
          <t>30121</t>
        </is>
      </c>
      <c r="AE394" s="324" t="n">
        <v>494</v>
      </c>
      <c r="AF394" s="324" t="inlineStr">
        <is>
          <t>Tinderet</t>
        </is>
      </c>
      <c r="AG394" s="324" t="n">
        <v>170</v>
      </c>
      <c r="AU394" t="n">
        <v>55</v>
      </c>
      <c r="AV394" t="inlineStr">
        <is>
          <t>KAPENGURIA BRANCH</t>
        </is>
      </c>
      <c r="AW394" t="n">
        <v>1</v>
      </c>
      <c r="AX394" s="4" t="n"/>
    </row>
    <row r="395">
      <c r="A395" s="305" t="inlineStr">
        <is>
          <t>MALAYSIA</t>
        </is>
      </c>
      <c r="B395" s="306" t="n">
        <v>107</v>
      </c>
      <c r="M395" s="3" t="n">
        <v>10207</v>
      </c>
      <c r="N395" t="inlineStr">
        <is>
          <t>KIHOYA</t>
        </is>
      </c>
      <c r="R395" s="3" t="inlineStr">
        <is>
          <t>30122</t>
        </is>
      </c>
      <c r="AE395" s="324" t="n">
        <v>616</v>
      </c>
      <c r="AF395" s="324" t="inlineStr">
        <is>
          <t>Trans Mara</t>
        </is>
      </c>
      <c r="AG395" s="324" t="n">
        <v>171</v>
      </c>
      <c r="AU395" t="n">
        <v>68</v>
      </c>
      <c r="AV395" t="inlineStr">
        <is>
          <t>KAPSABET BRANCH</t>
        </is>
      </c>
      <c r="AW395" t="n">
        <v>1</v>
      </c>
      <c r="AX395" s="4" t="n"/>
    </row>
    <row r="396">
      <c r="A396" s="305" t="inlineStr">
        <is>
          <t>MALDIVES</t>
        </is>
      </c>
      <c r="B396" s="306" t="n">
        <v>108</v>
      </c>
      <c r="M396" s="3" t="n">
        <v>30110</v>
      </c>
      <c r="N396" t="inlineStr">
        <is>
          <t>KIHUGA SQUARE</t>
        </is>
      </c>
      <c r="R396" s="3" t="inlineStr">
        <is>
          <t>30123</t>
        </is>
      </c>
      <c r="AE396" s="324" t="n">
        <v>407</v>
      </c>
      <c r="AF396" s="324" t="inlineStr">
        <is>
          <t>Narok</t>
        </is>
      </c>
      <c r="AG396" s="324" t="n">
        <v>172</v>
      </c>
      <c r="AU396" t="n">
        <v>84</v>
      </c>
      <c r="AV396" t="inlineStr">
        <is>
          <t>KAPSOKWONY BRANCH</t>
        </is>
      </c>
      <c r="AW396" t="n">
        <v>1</v>
      </c>
      <c r="AX396" s="4" t="n"/>
    </row>
    <row r="397">
      <c r="A397" s="305" t="inlineStr">
        <is>
          <t>MALI</t>
        </is>
      </c>
      <c r="B397" s="306" t="n">
        <v>109</v>
      </c>
      <c r="M397" s="3" t="n">
        <v>60207</v>
      </c>
      <c r="N397" t="inlineStr">
        <is>
          <t>KIIRUA</t>
        </is>
      </c>
      <c r="R397" s="3" t="inlineStr">
        <is>
          <t>30124</t>
        </is>
      </c>
      <c r="AE397" s="324" t="n">
        <v>486</v>
      </c>
      <c r="AF397" s="324" t="inlineStr">
        <is>
          <t>Suswa</t>
        </is>
      </c>
      <c r="AG397" s="324" t="n">
        <v>172</v>
      </c>
      <c r="AU397" t="n">
        <v>26</v>
      </c>
      <c r="AV397" t="inlineStr">
        <is>
          <t>KARATINA  BRANCH</t>
        </is>
      </c>
      <c r="AW397" t="n">
        <v>1</v>
      </c>
      <c r="AX397" s="4" t="n"/>
    </row>
    <row r="398">
      <c r="A398" s="305" t="inlineStr">
        <is>
          <t>MALTA</t>
        </is>
      </c>
      <c r="B398" s="306" t="n">
        <v>110</v>
      </c>
      <c r="M398" s="3" t="inlineStr">
        <is>
          <t>00220</t>
        </is>
      </c>
      <c r="N398" t="inlineStr">
        <is>
          <t>KIJABE</t>
        </is>
      </c>
      <c r="R398" s="3" t="inlineStr">
        <is>
          <t>30125</t>
        </is>
      </c>
      <c r="AE398" s="324" t="n">
        <v>268</v>
      </c>
      <c r="AF398" s="324" t="inlineStr">
        <is>
          <t>Loita</t>
        </is>
      </c>
      <c r="AG398" s="324" t="n">
        <v>173</v>
      </c>
      <c r="AU398" t="n">
        <v>80</v>
      </c>
      <c r="AV398" t="inlineStr">
        <is>
          <t>KEHANCHA BRANCH</t>
        </is>
      </c>
      <c r="AW398" t="n">
        <v>1</v>
      </c>
      <c r="AX398" s="4" t="n"/>
    </row>
    <row r="399">
      <c r="A399" s="305" t="inlineStr">
        <is>
          <t>MARSHALL ISLANDS</t>
        </is>
      </c>
      <c r="B399" s="306" t="n">
        <v>111</v>
      </c>
      <c r="M399" s="3" t="n">
        <v>90125</v>
      </c>
      <c r="N399" t="inlineStr">
        <is>
          <t>KIKIMA</t>
        </is>
      </c>
      <c r="R399" s="3" t="inlineStr">
        <is>
          <t>30126</t>
        </is>
      </c>
      <c r="AE399" s="324" t="n">
        <v>310</v>
      </c>
      <c r="AF399" s="324" t="inlineStr">
        <is>
          <t>Malaral</t>
        </is>
      </c>
      <c r="AG399" s="324" t="n">
        <v>174</v>
      </c>
      <c r="AU399" t="n">
        <v>33</v>
      </c>
      <c r="AV399" t="inlineStr">
        <is>
          <t>KENYATTA AVENUE BRANCH</t>
        </is>
      </c>
      <c r="AW399" t="n">
        <v>1</v>
      </c>
      <c r="AX399" s="4" t="n"/>
    </row>
    <row r="400">
      <c r="A400" s="305" t="inlineStr">
        <is>
          <t>MAURITANIA</t>
        </is>
      </c>
      <c r="B400" s="306" t="n">
        <v>112</v>
      </c>
      <c r="M400" s="3" t="inlineStr">
        <is>
          <t>00902</t>
        </is>
      </c>
      <c r="N400" t="inlineStr">
        <is>
          <t>KIKUYU</t>
        </is>
      </c>
      <c r="R400" s="3" t="inlineStr">
        <is>
          <t>30127</t>
        </is>
      </c>
      <c r="AE400" s="324" t="n">
        <v>509</v>
      </c>
      <c r="AF400" s="324" t="inlineStr">
        <is>
          <t>Wamba</t>
        </is>
      </c>
      <c r="AG400" s="324" t="n">
        <v>175</v>
      </c>
      <c r="AU400" t="n">
        <v>12</v>
      </c>
      <c r="AV400" t="inlineStr">
        <is>
          <t>KERICHO BRANCH</t>
        </is>
      </c>
      <c r="AW400" t="n">
        <v>1</v>
      </c>
      <c r="AX400" s="4" t="n"/>
    </row>
    <row r="401">
      <c r="A401" s="305" t="inlineStr">
        <is>
          <t>MAURITIUS</t>
        </is>
      </c>
      <c r="B401" s="306" t="n">
        <v>113</v>
      </c>
      <c r="M401" s="3" t="inlineStr">
        <is>
          <t>90305</t>
        </is>
      </c>
      <c r="N401" t="inlineStr">
        <is>
          <t>KILALA</t>
        </is>
      </c>
      <c r="R401" s="3" t="inlineStr">
        <is>
          <t>30128</t>
        </is>
      </c>
      <c r="AE401" s="324" t="n">
        <v>17</v>
      </c>
      <c r="AF401" s="324" t="inlineStr">
        <is>
          <t>Baragoi</t>
        </is>
      </c>
      <c r="AG401" s="324" t="n">
        <v>176</v>
      </c>
      <c r="AU401" t="n">
        <v>25</v>
      </c>
      <c r="AV401" t="inlineStr">
        <is>
          <t>KIAMBU BRANCH</t>
        </is>
      </c>
      <c r="AW401" t="n">
        <v>1</v>
      </c>
      <c r="AX401" s="4" t="n"/>
    </row>
    <row r="402">
      <c r="A402" s="305" t="inlineStr">
        <is>
          <t>MEXICO</t>
        </is>
      </c>
      <c r="B402" s="306" t="n">
        <v>114</v>
      </c>
      <c r="M402" s="3" t="inlineStr">
        <is>
          <t>40700</t>
        </is>
      </c>
      <c r="N402" t="inlineStr">
        <is>
          <t>KILGORIS</t>
        </is>
      </c>
      <c r="R402" s="3" t="inlineStr">
        <is>
          <t>30129</t>
        </is>
      </c>
      <c r="AE402" s="324" t="n">
        <v>241</v>
      </c>
      <c r="AF402" s="324" t="inlineStr">
        <is>
          <t>Kitale</t>
        </is>
      </c>
      <c r="AG402" s="324" t="n">
        <v>177</v>
      </c>
      <c r="AU402" t="n">
        <v>34</v>
      </c>
      <c r="AV402" t="inlineStr">
        <is>
          <t>KIKUYU BRANCH</t>
        </is>
      </c>
      <c r="AW402" t="n">
        <v>1</v>
      </c>
      <c r="AX402" s="4" t="n"/>
    </row>
    <row r="403">
      <c r="A403" s="305" t="inlineStr">
        <is>
          <t>MICRONESIA</t>
        </is>
      </c>
      <c r="B403" s="306" t="n">
        <v>115</v>
      </c>
      <c r="M403" s="3" t="inlineStr">
        <is>
          <t>30315</t>
        </is>
      </c>
      <c r="N403" t="inlineStr">
        <is>
          <t>KILIBWONI</t>
        </is>
      </c>
      <c r="R403" s="3" t="inlineStr">
        <is>
          <t>30130</t>
        </is>
      </c>
      <c r="AE403" s="324" t="n">
        <v>52</v>
      </c>
      <c r="AF403" s="324" t="inlineStr">
        <is>
          <t>Cheregany</t>
        </is>
      </c>
      <c r="AG403" s="324" t="n">
        <v>178</v>
      </c>
      <c r="AU403" t="n">
        <v>76</v>
      </c>
      <c r="AV403" t="inlineStr">
        <is>
          <t>KILIFI BRANCH</t>
        </is>
      </c>
      <c r="AW403" t="n">
        <v>1</v>
      </c>
      <c r="AX403" s="4" t="n"/>
    </row>
    <row r="404">
      <c r="A404" s="305" t="inlineStr">
        <is>
          <t>MOLDOVA</t>
        </is>
      </c>
      <c r="B404" s="306" t="n">
        <v>116</v>
      </c>
      <c r="M404" s="3" t="inlineStr">
        <is>
          <t>80108</t>
        </is>
      </c>
      <c r="N404" t="inlineStr">
        <is>
          <t>KILIFI</t>
        </is>
      </c>
      <c r="R404" s="3" t="inlineStr">
        <is>
          <t>30131</t>
        </is>
      </c>
      <c r="AE404" s="324" t="n">
        <v>83</v>
      </c>
      <c r="AF404" s="324" t="inlineStr">
        <is>
          <t>Endebbes</t>
        </is>
      </c>
      <c r="AG404" s="324" t="n">
        <v>179</v>
      </c>
      <c r="AU404" t="n">
        <v>17</v>
      </c>
      <c r="AV404" t="inlineStr">
        <is>
          <t>KILINDINI ROAD BRANCH</t>
        </is>
      </c>
      <c r="AW404" t="n">
        <v>1</v>
      </c>
      <c r="AX404" s="4" t="n"/>
    </row>
    <row r="405">
      <c r="A405" s="305" t="inlineStr">
        <is>
          <t>MONACO</t>
        </is>
      </c>
      <c r="B405" s="306" t="n">
        <v>117</v>
      </c>
      <c r="M405" s="3" t="inlineStr">
        <is>
          <t>80107</t>
        </is>
      </c>
      <c r="N405" t="inlineStr">
        <is>
          <t>KILINDINI</t>
        </is>
      </c>
      <c r="R405" s="3" t="inlineStr">
        <is>
          <t>30200</t>
        </is>
      </c>
      <c r="AE405" s="324" t="n">
        <v>266</v>
      </c>
      <c r="AF405" s="324" t="inlineStr">
        <is>
          <t>Lodwar</t>
        </is>
      </c>
      <c r="AG405" s="324" t="n">
        <v>180</v>
      </c>
      <c r="AU405" t="n">
        <v>7</v>
      </c>
      <c r="AV405" t="inlineStr">
        <is>
          <t>KIPANDE HOUSE BRANCH</t>
        </is>
      </c>
      <c r="AW405" t="n">
        <v>1</v>
      </c>
      <c r="AX405" s="4" t="n"/>
    </row>
    <row r="406">
      <c r="A406" s="305" t="inlineStr">
        <is>
          <t>MONGOLIA</t>
        </is>
      </c>
      <c r="B406" s="306" t="n">
        <v>118</v>
      </c>
      <c r="M406" s="3" t="inlineStr">
        <is>
          <t>50315</t>
        </is>
      </c>
      <c r="N406" t="inlineStr">
        <is>
          <t>KILINGILI</t>
        </is>
      </c>
      <c r="R406" s="3" t="inlineStr">
        <is>
          <t>30201</t>
        </is>
      </c>
      <c r="AE406" s="324" t="n">
        <v>271</v>
      </c>
      <c r="AF406" s="324" t="inlineStr">
        <is>
          <t>Lokori</t>
        </is>
      </c>
      <c r="AG406" s="324" t="n">
        <v>181</v>
      </c>
      <c r="AU406" t="n">
        <v>92</v>
      </c>
      <c r="AV406" t="inlineStr">
        <is>
          <t>KISII BRANCH</t>
        </is>
      </c>
      <c r="AW406" t="n">
        <v>1</v>
      </c>
      <c r="AX406" s="4" t="n"/>
    </row>
    <row r="407">
      <c r="A407" s="305" t="inlineStr">
        <is>
          <t>MONTENEGRO</t>
        </is>
      </c>
      <c r="B407" s="306" t="n">
        <v>119</v>
      </c>
      <c r="M407" s="3" t="inlineStr">
        <is>
          <t>10125</t>
        </is>
      </c>
      <c r="N407" t="inlineStr">
        <is>
          <t>KIMAHURI</t>
        </is>
      </c>
      <c r="R407" s="3" t="inlineStr">
        <is>
          <t>30202</t>
        </is>
      </c>
      <c r="AE407" s="324" t="n">
        <v>270</v>
      </c>
      <c r="AF407" s="324" t="inlineStr">
        <is>
          <t>Lokitung</t>
        </is>
      </c>
      <c r="AG407" s="324" t="n">
        <v>182</v>
      </c>
      <c r="AU407" t="n">
        <v>11</v>
      </c>
      <c r="AV407" t="inlineStr">
        <is>
          <t>KISUMU BRANCH</t>
        </is>
      </c>
      <c r="AW407" t="n">
        <v>1</v>
      </c>
      <c r="AX407" s="4" t="n"/>
    </row>
    <row r="408">
      <c r="A408" s="305" t="inlineStr">
        <is>
          <t>MOROCCO</t>
        </is>
      </c>
      <c r="B408" s="306" t="n">
        <v>120</v>
      </c>
      <c r="M408" s="3" t="inlineStr">
        <is>
          <t>00215</t>
        </is>
      </c>
      <c r="N408" t="inlineStr">
        <is>
          <t>KIMANA</t>
        </is>
      </c>
      <c r="R408" s="3" t="inlineStr">
        <is>
          <t>30203</t>
        </is>
      </c>
      <c r="AE408" s="324" t="n">
        <v>269</v>
      </c>
      <c r="AF408" s="324" t="inlineStr">
        <is>
          <t>Lokichar</t>
        </is>
      </c>
      <c r="AG408" s="324" t="n">
        <v>183</v>
      </c>
      <c r="AU408" t="n">
        <v>74</v>
      </c>
      <c r="AV408" t="inlineStr">
        <is>
          <t>KISUMU WEST BRANCH</t>
        </is>
      </c>
      <c r="AW408" t="n">
        <v>1</v>
      </c>
      <c r="AX408" s="4" t="n"/>
    </row>
    <row r="409">
      <c r="A409" s="305" t="inlineStr">
        <is>
          <t>MOZAMBIQUE</t>
        </is>
      </c>
      <c r="B409" s="306" t="n">
        <v>121</v>
      </c>
      <c r="M409" s="3" t="inlineStr">
        <is>
          <t>10140</t>
        </is>
      </c>
      <c r="N409" t="inlineStr">
        <is>
          <t>KIMATHI WAY</t>
        </is>
      </c>
      <c r="R409" s="3" t="inlineStr">
        <is>
          <t>30204</t>
        </is>
      </c>
      <c r="AE409" s="324" t="n">
        <v>150</v>
      </c>
      <c r="AF409" s="324" t="inlineStr">
        <is>
          <t>Kakuma</t>
        </is>
      </c>
      <c r="AG409" s="324" t="n">
        <v>184</v>
      </c>
      <c r="AU409" t="n">
        <v>66</v>
      </c>
      <c r="AV409" t="inlineStr">
        <is>
          <t>KITENGELA</t>
        </is>
      </c>
      <c r="AW409" t="n">
        <v>1</v>
      </c>
      <c r="AX409" s="4" t="n"/>
    </row>
    <row r="410">
      <c r="A410" s="305" t="inlineStr">
        <is>
          <t>MYANMAR (BURMA)</t>
        </is>
      </c>
      <c r="B410" s="306" t="n">
        <v>122</v>
      </c>
      <c r="M410" s="3" t="inlineStr">
        <is>
          <t>10310</t>
        </is>
      </c>
      <c r="N410" t="inlineStr">
        <is>
          <t>KIMBIMBI</t>
        </is>
      </c>
      <c r="R410" s="3" t="inlineStr">
        <is>
          <t>30205</t>
        </is>
      </c>
      <c r="AE410" s="324" t="n">
        <v>267</v>
      </c>
      <c r="AF410" s="324" t="inlineStr">
        <is>
          <t>Loima</t>
        </is>
      </c>
      <c r="AG410" s="324" t="n">
        <v>185</v>
      </c>
      <c r="AU410" t="n">
        <v>40</v>
      </c>
      <c r="AV410" t="inlineStr">
        <is>
          <t>KITUI/MUTOMO</t>
        </is>
      </c>
      <c r="AW410" t="n">
        <v>1</v>
      </c>
      <c r="AX410" s="4" t="n"/>
    </row>
    <row r="411">
      <c r="A411" s="305" t="inlineStr">
        <is>
          <t>NAMIBIA</t>
        </is>
      </c>
      <c r="B411" s="306" t="n">
        <v>123</v>
      </c>
      <c r="M411" s="3" t="inlineStr">
        <is>
          <t>50204</t>
        </is>
      </c>
      <c r="N411" t="inlineStr">
        <is>
          <t>KIMILILI</t>
        </is>
      </c>
      <c r="R411" s="3" t="inlineStr">
        <is>
          <t>30206</t>
        </is>
      </c>
      <c r="AE411" s="324" t="n">
        <v>348</v>
      </c>
      <c r="AF411" s="324" t="inlineStr">
        <is>
          <t>Medi Heal Eldoret</t>
        </is>
      </c>
      <c r="AG411" s="324" t="n">
        <v>186</v>
      </c>
      <c r="AU411" t="n">
        <v>75</v>
      </c>
      <c r="AV411" t="inlineStr">
        <is>
          <t>LAMU BRANCH</t>
        </is>
      </c>
      <c r="AW411" t="n">
        <v>1</v>
      </c>
      <c r="AX411" s="4" t="n"/>
    </row>
    <row r="412">
      <c r="A412" s="305" t="inlineStr">
        <is>
          <t>NAURU</t>
        </is>
      </c>
      <c r="B412" s="306" t="n">
        <v>124</v>
      </c>
      <c r="M412" s="3" t="inlineStr">
        <is>
          <t>30209</t>
        </is>
      </c>
      <c r="N412" t="inlineStr">
        <is>
          <t>KIMININI</t>
        </is>
      </c>
      <c r="R412" s="3" t="inlineStr">
        <is>
          <t>30207</t>
        </is>
      </c>
      <c r="AE412" s="324" t="n">
        <v>76</v>
      </c>
      <c r="AF412" s="324" t="inlineStr">
        <is>
          <t>Eldoret</t>
        </is>
      </c>
      <c r="AG412" s="324" t="n">
        <v>187</v>
      </c>
      <c r="AU412" t="n">
        <v>48</v>
      </c>
      <c r="AV412" t="inlineStr">
        <is>
          <t>LODWAR BRANCH</t>
        </is>
      </c>
      <c r="AW412" t="n">
        <v>1</v>
      </c>
      <c r="AX412" s="4" t="n"/>
    </row>
    <row r="413">
      <c r="A413" s="305" t="inlineStr">
        <is>
          <t>NEPAL</t>
        </is>
      </c>
      <c r="B413" s="306" t="n">
        <v>125</v>
      </c>
      <c r="M413" s="3" t="inlineStr">
        <is>
          <t>30120</t>
        </is>
      </c>
      <c r="N413" t="inlineStr">
        <is>
          <t>KIMONING</t>
        </is>
      </c>
      <c r="R413" s="3" t="inlineStr">
        <is>
          <t>30208</t>
        </is>
      </c>
      <c r="AE413" s="324" t="n">
        <v>440</v>
      </c>
      <c r="AF413" s="324" t="inlineStr">
        <is>
          <t>Pioneer Eldoret</t>
        </is>
      </c>
      <c r="AG413" s="324" t="n">
        <v>188</v>
      </c>
      <c r="AU413" t="n">
        <v>46</v>
      </c>
      <c r="AV413" t="inlineStr">
        <is>
          <t>LOITOKITOK BRANCH</t>
        </is>
      </c>
      <c r="AW413" t="n">
        <v>1</v>
      </c>
      <c r="AX413" s="4" t="n"/>
    </row>
    <row r="414">
      <c r="A414" s="305" t="inlineStr">
        <is>
          <t>NETHERLANDS</t>
        </is>
      </c>
      <c r="B414" s="306" t="n">
        <v>126</v>
      </c>
      <c r="M414" s="3" t="inlineStr">
        <is>
          <t>20225</t>
        </is>
      </c>
      <c r="N414" t="inlineStr">
        <is>
          <t>KIMULOT</t>
        </is>
      </c>
      <c r="R414" s="3" t="inlineStr">
        <is>
          <t>30209</t>
        </is>
      </c>
      <c r="AE414" s="324" t="n">
        <v>3</v>
      </c>
      <c r="AF414" s="324" t="inlineStr">
        <is>
          <t>Alale</t>
        </is>
      </c>
      <c r="AG414" s="324" t="n">
        <v>189</v>
      </c>
      <c r="AU414" t="n">
        <v>95</v>
      </c>
      <c r="AV414" t="inlineStr">
        <is>
          <t>MACHAKOS/EMALI SATTELITE</t>
        </is>
      </c>
      <c r="AW414" t="n">
        <v>1</v>
      </c>
      <c r="AX414" s="4" t="n"/>
    </row>
    <row r="415">
      <c r="A415" s="305" t="inlineStr">
        <is>
          <t>NEW ZEALAND</t>
        </is>
      </c>
      <c r="B415" s="306" t="n">
        <v>127</v>
      </c>
      <c r="M415" s="3" t="inlineStr">
        <is>
          <t>30128</t>
        </is>
      </c>
      <c r="N415" t="inlineStr">
        <is>
          <t>KIMWARER</t>
        </is>
      </c>
      <c r="R415" s="3" t="inlineStr">
        <is>
          <t>30210</t>
        </is>
      </c>
      <c r="AE415" s="324" t="n">
        <v>467</v>
      </c>
      <c r="AF415" s="324" t="inlineStr">
        <is>
          <t>Sigor</t>
        </is>
      </c>
      <c r="AG415" s="324" t="n">
        <v>190</v>
      </c>
      <c r="AU415" t="n">
        <v>100</v>
      </c>
      <c r="AV415" t="inlineStr">
        <is>
          <t>MALINDI BRANCH</t>
        </is>
      </c>
      <c r="AW415" t="n">
        <v>1</v>
      </c>
      <c r="AX415" s="4" t="n"/>
    </row>
    <row r="416">
      <c r="A416" s="305" t="inlineStr">
        <is>
          <t>NICARAGUA</t>
        </is>
      </c>
      <c r="B416" s="306" t="n">
        <v>128</v>
      </c>
      <c r="M416" s="3" t="inlineStr">
        <is>
          <t>20320</t>
        </is>
      </c>
      <c r="N416" t="inlineStr">
        <is>
          <t>KINAMBA</t>
        </is>
      </c>
      <c r="R416" s="3" t="inlineStr">
        <is>
          <t>30211</t>
        </is>
      </c>
      <c r="AE416" s="324" t="n">
        <v>168</v>
      </c>
      <c r="AF416" s="324" t="inlineStr">
        <is>
          <t>Kapenguria</t>
        </is>
      </c>
      <c r="AG416" s="324" t="n">
        <v>191</v>
      </c>
      <c r="AU416" t="n">
        <v>54</v>
      </c>
      <c r="AV416" t="inlineStr">
        <is>
          <t>MANDERA BRANCH</t>
        </is>
      </c>
      <c r="AW416" t="n">
        <v>1</v>
      </c>
      <c r="AX416" s="4" t="n"/>
    </row>
    <row r="417">
      <c r="A417" s="305" t="inlineStr">
        <is>
          <t>NIGER</t>
        </is>
      </c>
      <c r="B417" s="306" t="n">
        <v>129</v>
      </c>
      <c r="M417" s="3" t="inlineStr">
        <is>
          <t>80405</t>
        </is>
      </c>
      <c r="N417" t="inlineStr">
        <is>
          <t>KINANGO</t>
        </is>
      </c>
      <c r="R417" s="3" t="inlineStr">
        <is>
          <t>30212</t>
        </is>
      </c>
      <c r="AE417" s="324" t="n">
        <v>46</v>
      </c>
      <c r="AF417" s="324" t="inlineStr">
        <is>
          <t>Chebukaka</t>
        </is>
      </c>
      <c r="AG417" s="324" t="n">
        <v>192</v>
      </c>
      <c r="AU417" t="n">
        <v>58</v>
      </c>
      <c r="AV417" t="inlineStr">
        <is>
          <t>MARALAL BRANCH</t>
        </is>
      </c>
      <c r="AW417" t="n">
        <v>1</v>
      </c>
      <c r="AX417" s="4" t="n"/>
    </row>
    <row r="418">
      <c r="A418" s="305" t="inlineStr">
        <is>
          <t>NIGERIA</t>
        </is>
      </c>
      <c r="B418" s="306" t="n">
        <v>130</v>
      </c>
      <c r="M418" s="3" t="inlineStr">
        <is>
          <t>00227</t>
        </is>
      </c>
      <c r="N418" t="inlineStr">
        <is>
          <t>KINARI</t>
        </is>
      </c>
      <c r="R418" s="3" t="inlineStr">
        <is>
          <t>30213</t>
        </is>
      </c>
      <c r="AE418" s="324" t="n">
        <v>47</v>
      </c>
      <c r="AF418" s="324" t="inlineStr">
        <is>
          <t>Chebukwa</t>
        </is>
      </c>
      <c r="AG418" s="324" t="n">
        <v>192</v>
      </c>
      <c r="AU418" t="n">
        <v>56</v>
      </c>
      <c r="AV418" t="inlineStr">
        <is>
          <t>MARIGAT SATELLITE</t>
        </is>
      </c>
      <c r="AW418" t="n">
        <v>1</v>
      </c>
      <c r="AX418" s="4" t="n"/>
    </row>
    <row r="419">
      <c r="A419" s="305" t="inlineStr">
        <is>
          <t>NORWAY</t>
        </is>
      </c>
      <c r="B419" s="306" t="n">
        <v>131</v>
      </c>
      <c r="M419" s="3" t="inlineStr">
        <is>
          <t>01031</t>
        </is>
      </c>
      <c r="N419" t="inlineStr">
        <is>
          <t>KINDARUMA</t>
        </is>
      </c>
      <c r="R419" s="3" t="inlineStr">
        <is>
          <t>30214</t>
        </is>
      </c>
      <c r="AE419" s="324" t="n">
        <v>49</v>
      </c>
      <c r="AF419" s="324" t="inlineStr">
        <is>
          <t>Chemwa</t>
        </is>
      </c>
      <c r="AG419" s="324" t="n">
        <v>192</v>
      </c>
      <c r="AU419" t="n">
        <v>44</v>
      </c>
      <c r="AV419" t="inlineStr">
        <is>
          <t>MARSABIT BRANCH</t>
        </is>
      </c>
      <c r="AW419" t="n">
        <v>1</v>
      </c>
      <c r="AX419" s="4" t="n"/>
    </row>
    <row r="420">
      <c r="A420" s="305" t="inlineStr">
        <is>
          <t>OMAN</t>
        </is>
      </c>
      <c r="B420" s="306" t="n">
        <v>132</v>
      </c>
      <c r="M420" s="3" t="inlineStr">
        <is>
          <t>01026</t>
        </is>
      </c>
      <c r="N420" t="inlineStr">
        <is>
          <t>KINUNGA</t>
        </is>
      </c>
      <c r="R420" s="3" t="inlineStr">
        <is>
          <t>30215</t>
        </is>
      </c>
      <c r="AE420" s="324" t="n">
        <v>55</v>
      </c>
      <c r="AF420" s="324" t="inlineStr">
        <is>
          <t>Chwele</t>
        </is>
      </c>
      <c r="AG420" s="324" t="n">
        <v>192</v>
      </c>
      <c r="AU420" t="n">
        <v>1</v>
      </c>
      <c r="AV420" t="inlineStr">
        <is>
          <t>MASHARIKI BRANCH</t>
        </is>
      </c>
      <c r="AW420" t="n">
        <v>1</v>
      </c>
      <c r="AX420" s="4" t="n"/>
    </row>
    <row r="421">
      <c r="A421" s="305" t="inlineStr">
        <is>
          <t>PAKISTAN</t>
        </is>
      </c>
      <c r="B421" s="306" t="n">
        <v>133</v>
      </c>
      <c r="M421" s="3" t="inlineStr">
        <is>
          <t>60211</t>
        </is>
      </c>
      <c r="N421" t="inlineStr">
        <is>
          <t>KIONYO</t>
        </is>
      </c>
      <c r="R421" s="3" t="inlineStr">
        <is>
          <t>30216</t>
        </is>
      </c>
      <c r="AE421" s="324" t="n">
        <v>138</v>
      </c>
      <c r="AF421" s="324" t="inlineStr">
        <is>
          <t>Kabuchai</t>
        </is>
      </c>
      <c r="AG421" s="324" t="n">
        <v>192</v>
      </c>
      <c r="AU421" t="n">
        <v>59</v>
      </c>
      <c r="AV421" t="inlineStr">
        <is>
          <t>MASHARIKI BRANCH</t>
        </is>
      </c>
      <c r="AW421" t="n">
        <v>1</v>
      </c>
      <c r="AX421" s="4" t="n"/>
    </row>
    <row r="422">
      <c r="A422" s="305" t="inlineStr">
        <is>
          <t>PALAU</t>
        </is>
      </c>
      <c r="B422" s="306" t="n">
        <v>134</v>
      </c>
      <c r="M422" s="3" t="inlineStr">
        <is>
          <t>80116</t>
        </is>
      </c>
      <c r="N422" t="inlineStr">
        <is>
          <t>KIPEVU</t>
        </is>
      </c>
      <c r="R422" s="3" t="inlineStr">
        <is>
          <t>30217</t>
        </is>
      </c>
      <c r="AE422" s="324" t="n">
        <v>226</v>
      </c>
      <c r="AF422" s="324" t="inlineStr">
        <is>
          <t>Kimukungi</t>
        </is>
      </c>
      <c r="AG422" s="324" t="n">
        <v>192</v>
      </c>
      <c r="AU422" t="n">
        <v>39</v>
      </c>
      <c r="AV422" t="inlineStr">
        <is>
          <t>MATUU BRANCH</t>
        </is>
      </c>
      <c r="AW422" t="n">
        <v>1</v>
      </c>
      <c r="AX422" s="4" t="n"/>
    </row>
    <row r="423">
      <c r="A423" s="305" t="inlineStr">
        <is>
          <t>PANAMA</t>
        </is>
      </c>
      <c r="B423" s="306" t="n">
        <v>135</v>
      </c>
      <c r="M423" s="3" t="inlineStr">
        <is>
          <t>30103</t>
        </is>
      </c>
      <c r="N423" t="inlineStr">
        <is>
          <t>KIPKABUS</t>
        </is>
      </c>
      <c r="R423" s="3" t="inlineStr">
        <is>
          <t>30218</t>
        </is>
      </c>
      <c r="AE423" s="324" t="n">
        <v>239</v>
      </c>
      <c r="AF423" s="324" t="inlineStr">
        <is>
          <t>Kisiwa</t>
        </is>
      </c>
      <c r="AG423" s="324" t="n">
        <v>192</v>
      </c>
      <c r="AU423" t="n">
        <v>85</v>
      </c>
      <c r="AV423" t="inlineStr">
        <is>
          <t>MBALE BRANCH</t>
        </is>
      </c>
      <c r="AW423" t="n">
        <v>1</v>
      </c>
      <c r="AX423" s="4" t="n"/>
    </row>
    <row r="424">
      <c r="A424" s="305" t="inlineStr">
        <is>
          <t>PAPUA NEW GUINEA</t>
        </is>
      </c>
      <c r="B424" s="306" t="n">
        <v>136</v>
      </c>
      <c r="M424" s="3" t="inlineStr">
        <is>
          <t>50241</t>
        </is>
      </c>
      <c r="N424" t="inlineStr">
        <is>
          <t>KIPKARREN RIVER</t>
        </is>
      </c>
      <c r="R424" s="3" t="inlineStr">
        <is>
          <t>30219</t>
        </is>
      </c>
      <c r="AE424" s="324" t="n">
        <v>287</v>
      </c>
      <c r="AF424" s="324" t="inlineStr">
        <is>
          <t>Luucho</t>
        </is>
      </c>
      <c r="AG424" s="324" t="n">
        <v>192</v>
      </c>
      <c r="AU424" t="n">
        <v>64</v>
      </c>
      <c r="AV424" t="inlineStr">
        <is>
          <t>MENENGAI CRATER BRANCH</t>
        </is>
      </c>
      <c r="AW424" t="n">
        <v>1</v>
      </c>
      <c r="AX424" s="4" t="n"/>
    </row>
    <row r="425">
      <c r="A425" s="305" t="inlineStr">
        <is>
          <t>PARAGUAY</t>
        </is>
      </c>
      <c r="B425" s="306" t="n">
        <v>137</v>
      </c>
      <c r="M425" s="3" t="inlineStr">
        <is>
          <t>20202</t>
        </is>
      </c>
      <c r="N425" t="inlineStr">
        <is>
          <t>KIPKELION</t>
        </is>
      </c>
      <c r="R425" s="3" t="inlineStr">
        <is>
          <t>30220</t>
        </is>
      </c>
      <c r="AE425" s="324" t="n">
        <v>288</v>
      </c>
      <c r="AF425" s="324" t="inlineStr">
        <is>
          <t>Luuya</t>
        </is>
      </c>
      <c r="AG425" s="324" t="n">
        <v>192</v>
      </c>
      <c r="AU425" t="n">
        <v>29</v>
      </c>
      <c r="AV425" t="inlineStr">
        <is>
          <t>MERU BRANCH/ MAUA BRANCH</t>
        </is>
      </c>
      <c r="AW425" t="n">
        <v>1</v>
      </c>
      <c r="AX425" s="4" t="n"/>
    </row>
    <row r="426">
      <c r="A426" s="305" t="inlineStr">
        <is>
          <t>PERU</t>
        </is>
      </c>
      <c r="B426" s="306" t="n">
        <v>138</v>
      </c>
      <c r="M426" s="3" t="inlineStr">
        <is>
          <t>30117</t>
        </is>
      </c>
      <c r="N426" t="inlineStr">
        <is>
          <t>KIPLEGETET</t>
        </is>
      </c>
      <c r="R426" s="3" t="inlineStr">
        <is>
          <t>30300</t>
        </is>
      </c>
      <c r="AE426" s="324" t="n">
        <v>293</v>
      </c>
      <c r="AF426" s="324" t="inlineStr">
        <is>
          <t>Mabanga</t>
        </is>
      </c>
      <c r="AG426" s="324" t="n">
        <v>192</v>
      </c>
      <c r="AU426" t="n">
        <v>93</v>
      </c>
      <c r="AV426" t="inlineStr">
        <is>
          <t>MIGORI BRANCH</t>
        </is>
      </c>
      <c r="AW426" t="n">
        <v>1</v>
      </c>
      <c r="AX426" s="4" t="n"/>
    </row>
    <row r="427">
      <c r="A427" s="305" t="inlineStr">
        <is>
          <t>PHILIPPINES</t>
        </is>
      </c>
      <c r="B427" s="306" t="n">
        <v>139</v>
      </c>
      <c r="M427" s="3" t="inlineStr">
        <is>
          <t>20416</t>
        </is>
      </c>
      <c r="N427" t="inlineStr">
        <is>
          <t>KIPLELJI</t>
        </is>
      </c>
      <c r="R427" s="3" t="inlineStr">
        <is>
          <t>30301</t>
        </is>
      </c>
      <c r="AE427" s="324" t="n">
        <v>313</v>
      </c>
      <c r="AF427" s="324" t="inlineStr">
        <is>
          <t>Malinda</t>
        </is>
      </c>
      <c r="AG427" s="324" t="n">
        <v>192</v>
      </c>
      <c r="AU427" t="n">
        <v>77</v>
      </c>
      <c r="AV427" t="inlineStr">
        <is>
          <t>MILIMANI</t>
        </is>
      </c>
      <c r="AW427" t="n">
        <v>1</v>
      </c>
      <c r="AX427" s="4" t="n"/>
    </row>
    <row r="428">
      <c r="A428" s="305" t="inlineStr">
        <is>
          <t>POLAND</t>
        </is>
      </c>
      <c r="B428" s="306" t="n">
        <v>140</v>
      </c>
      <c r="M428" s="3" t="inlineStr">
        <is>
          <t>30203</t>
        </is>
      </c>
      <c r="N428" t="inlineStr">
        <is>
          <t>KIPSAINA</t>
        </is>
      </c>
      <c r="R428" s="3" t="inlineStr">
        <is>
          <t>30302</t>
        </is>
      </c>
      <c r="AE428" s="324" t="n">
        <v>324</v>
      </c>
      <c r="AF428" s="324" t="inlineStr">
        <is>
          <t>Marakaru</t>
        </is>
      </c>
      <c r="AG428" s="324" t="n">
        <v>192</v>
      </c>
      <c r="AU428" t="n">
        <v>6</v>
      </c>
      <c r="AV428" t="inlineStr">
        <is>
          <t>MOI AVE./TOM MBOY</t>
        </is>
      </c>
      <c r="AW428" t="n">
        <v>1</v>
      </c>
      <c r="AX428" s="4" t="n"/>
    </row>
    <row r="429">
      <c r="A429" s="305" t="inlineStr">
        <is>
          <t>PORTUGAL</t>
        </is>
      </c>
      <c r="B429" s="306" t="n">
        <v>141</v>
      </c>
      <c r="M429" s="3" t="inlineStr">
        <is>
          <t>30118</t>
        </is>
      </c>
      <c r="N429" t="inlineStr">
        <is>
          <t>KIPTABACH</t>
        </is>
      </c>
      <c r="R429" s="3" t="inlineStr">
        <is>
          <t>30303</t>
        </is>
      </c>
      <c r="AE429" s="324" t="n">
        <v>329</v>
      </c>
      <c r="AF429" s="324" t="inlineStr">
        <is>
          <t>Marobo</t>
        </is>
      </c>
      <c r="AG429" s="324" t="n">
        <v>192</v>
      </c>
      <c r="AU429" t="n">
        <v>53</v>
      </c>
      <c r="AV429" t="inlineStr">
        <is>
          <t>MOI'S BRID. SATEL</t>
        </is>
      </c>
      <c r="AW429" t="n">
        <v>1</v>
      </c>
      <c r="AX429" s="4" t="n"/>
    </row>
    <row r="430">
      <c r="A430" s="305" t="inlineStr">
        <is>
          <t>QATAR</t>
        </is>
      </c>
      <c r="B430" s="306" t="n">
        <v>142</v>
      </c>
      <c r="M430" s="3" t="inlineStr">
        <is>
          <t>30402</t>
        </is>
      </c>
      <c r="N430" t="inlineStr">
        <is>
          <t>KIPTAGICH</t>
        </is>
      </c>
      <c r="R430" s="3" t="inlineStr">
        <is>
          <t>30304</t>
        </is>
      </c>
      <c r="AE430" s="324" t="n">
        <v>365</v>
      </c>
      <c r="AF430" s="324" t="inlineStr">
        <is>
          <t>Mukhweya</t>
        </is>
      </c>
      <c r="AG430" s="324" t="n">
        <v>192</v>
      </c>
      <c r="AU430" t="n">
        <v>3</v>
      </c>
      <c r="AV430" t="inlineStr">
        <is>
          <t>MTWAPA</t>
        </is>
      </c>
      <c r="AW430" t="n">
        <v>1</v>
      </c>
      <c r="AX430" s="4" t="n"/>
    </row>
    <row r="431">
      <c r="A431" s="305" t="inlineStr">
        <is>
          <t>ROMANIA</t>
        </is>
      </c>
      <c r="B431" s="306" t="n">
        <v>143</v>
      </c>
      <c r="M431" s="3" t="inlineStr">
        <is>
          <t>20133</t>
        </is>
      </c>
      <c r="N431" t="inlineStr">
        <is>
          <t>KIPTANGWANYI</t>
        </is>
      </c>
      <c r="R431" s="3" t="inlineStr">
        <is>
          <t>30305</t>
        </is>
      </c>
      <c r="AE431" s="324" t="n">
        <v>379</v>
      </c>
      <c r="AF431" s="324" t="inlineStr">
        <is>
          <t>Musese</t>
        </is>
      </c>
      <c r="AG431" s="324" t="n">
        <v>192</v>
      </c>
      <c r="AU431" t="n">
        <v>32</v>
      </c>
      <c r="AV431" t="inlineStr">
        <is>
          <t>MUINDI MBINGU STREET BRANCH</t>
        </is>
      </c>
      <c r="AW431" t="n">
        <v>1</v>
      </c>
      <c r="AX431" s="4" t="n"/>
    </row>
    <row r="432">
      <c r="A432" s="305" t="inlineStr">
        <is>
          <t>RUSSIA</t>
        </is>
      </c>
      <c r="B432" s="306" t="n">
        <v>144</v>
      </c>
      <c r="M432" s="3" t="inlineStr">
        <is>
          <t>20213</t>
        </is>
      </c>
      <c r="N432" t="inlineStr">
        <is>
          <t>KIPTERE</t>
        </is>
      </c>
      <c r="R432" s="3" t="inlineStr">
        <is>
          <t>30306</t>
        </is>
      </c>
      <c r="AE432" s="324" t="n">
        <v>386</v>
      </c>
      <c r="AF432" s="324" t="inlineStr">
        <is>
          <t>Muyayi</t>
        </is>
      </c>
      <c r="AG432" s="324" t="n">
        <v>192</v>
      </c>
      <c r="AU432" t="n">
        <v>79</v>
      </c>
      <c r="AV432" t="inlineStr">
        <is>
          <t>MUKURUWEINI BRANCH</t>
        </is>
      </c>
      <c r="AW432" t="n">
        <v>1</v>
      </c>
      <c r="AX432" s="4" t="n"/>
    </row>
    <row r="433">
      <c r="A433" s="305" t="inlineStr">
        <is>
          <t>RWANDA</t>
        </is>
      </c>
      <c r="B433" s="306" t="n">
        <v>145</v>
      </c>
      <c r="M433" s="3" t="inlineStr">
        <is>
          <t>20208</t>
        </is>
      </c>
      <c r="N433" t="inlineStr">
        <is>
          <t>KIPTUGUMO</t>
        </is>
      </c>
      <c r="R433" s="3" t="inlineStr">
        <is>
          <t>30307</t>
        </is>
      </c>
      <c r="AE433" s="324" t="n">
        <v>394</v>
      </c>
      <c r="AF433" s="324" t="inlineStr">
        <is>
          <t>Nairumbi</t>
        </is>
      </c>
      <c r="AG433" s="324" t="n">
        <v>192</v>
      </c>
      <c r="AU433" t="n">
        <v>30</v>
      </c>
      <c r="AV433" t="inlineStr">
        <is>
          <t>MUMIAS BRANCH</t>
        </is>
      </c>
      <c r="AW433" t="n">
        <v>1</v>
      </c>
      <c r="AX433" s="4" t="n"/>
    </row>
    <row r="434">
      <c r="A434" s="305" t="inlineStr">
        <is>
          <t>SAINT KITTS AND NEVIS</t>
        </is>
      </c>
      <c r="B434" s="306" t="n">
        <v>146</v>
      </c>
      <c r="M434" s="3" t="inlineStr">
        <is>
          <t>20131</t>
        </is>
      </c>
      <c r="N434" t="inlineStr">
        <is>
          <t>KIRENGETI</t>
        </is>
      </c>
      <c r="R434" s="3" t="inlineStr">
        <is>
          <t>30308</t>
        </is>
      </c>
      <c r="AE434" s="324" t="n">
        <v>399</v>
      </c>
      <c r="AF434" s="324" t="inlineStr">
        <is>
          <t>Nalondo</t>
        </is>
      </c>
      <c r="AG434" s="324" t="n">
        <v>192</v>
      </c>
      <c r="AU434" t="n">
        <v>21</v>
      </c>
      <c r="AV434" t="inlineStr">
        <is>
          <t>MURANG'A/MAKUYU</t>
        </is>
      </c>
      <c r="AW434" t="n">
        <v>1</v>
      </c>
      <c r="AX434" s="4" t="n"/>
    </row>
    <row r="435">
      <c r="A435" s="305" t="inlineStr">
        <is>
          <t>SAINT LUCIA</t>
        </is>
      </c>
      <c r="B435" s="306" t="n">
        <v>147</v>
      </c>
      <c r="M435" s="3" t="inlineStr">
        <is>
          <t>10204</t>
        </is>
      </c>
      <c r="N435" t="inlineStr">
        <is>
          <t>KIRIANI</t>
        </is>
      </c>
      <c r="R435" s="3" t="inlineStr">
        <is>
          <t>30309</t>
        </is>
      </c>
      <c r="AE435" s="324" t="n">
        <v>400</v>
      </c>
      <c r="AF435" s="324" t="inlineStr">
        <is>
          <t>Namangofulo</t>
        </is>
      </c>
      <c r="AG435" s="324" t="n">
        <v>192</v>
      </c>
      <c r="AU435" t="n">
        <v>41</v>
      </c>
      <c r="AV435" t="inlineStr">
        <is>
          <t>MVITA BRANCH</t>
        </is>
      </c>
      <c r="AW435" t="n">
        <v>1</v>
      </c>
      <c r="AX435" s="4" t="n"/>
    </row>
    <row r="436">
      <c r="A436" s="305" t="inlineStr">
        <is>
          <t>SAINT VINCENT AND THE GRENADINES</t>
        </is>
      </c>
      <c r="B436" s="306" t="n">
        <v>148</v>
      </c>
      <c r="M436" s="3" t="inlineStr">
        <is>
          <t>60116</t>
        </is>
      </c>
      <c r="N436" t="inlineStr">
        <is>
          <t>KIRIE</t>
        </is>
      </c>
      <c r="R436" s="3" t="inlineStr">
        <is>
          <t>30310</t>
        </is>
      </c>
      <c r="AE436" s="324" t="n">
        <v>405</v>
      </c>
      <c r="AF436" s="324" t="inlineStr">
        <is>
          <t>Nanilama</t>
        </is>
      </c>
      <c r="AG436" s="324" t="n">
        <v>192</v>
      </c>
      <c r="AU436" t="n">
        <v>96</v>
      </c>
      <c r="AV436" t="inlineStr">
        <is>
          <t>MWEA  BRANCH</t>
        </is>
      </c>
      <c r="AW436" t="n">
        <v>1</v>
      </c>
      <c r="AX436" s="4" t="n"/>
    </row>
    <row r="437">
      <c r="A437" s="305" t="inlineStr">
        <is>
          <t>SAMOA</t>
        </is>
      </c>
      <c r="B437" s="306" t="n">
        <v>149</v>
      </c>
      <c r="M437" s="3" t="inlineStr">
        <is>
          <t>20605</t>
        </is>
      </c>
      <c r="N437" t="inlineStr">
        <is>
          <t>KIRIMUN</t>
        </is>
      </c>
      <c r="R437" s="3" t="inlineStr">
        <is>
          <t>30311</t>
        </is>
      </c>
      <c r="AE437" s="324" t="n">
        <v>469</v>
      </c>
      <c r="AF437" s="324" t="inlineStr">
        <is>
          <t>Sikata</t>
        </is>
      </c>
      <c r="AG437" s="324" t="n">
        <v>192</v>
      </c>
      <c r="AU437" t="n">
        <v>52</v>
      </c>
      <c r="AV437" t="inlineStr">
        <is>
          <t>MWINGI BRANCH</t>
        </is>
      </c>
      <c r="AW437" t="n">
        <v>1</v>
      </c>
      <c r="AX437" s="4" t="n"/>
    </row>
    <row r="438">
      <c r="A438" s="305" t="inlineStr">
        <is>
          <t>SAN MARINO</t>
        </is>
      </c>
      <c r="B438" s="306" t="n">
        <v>150</v>
      </c>
      <c r="M438" s="3" t="inlineStr">
        <is>
          <t>20135</t>
        </is>
      </c>
      <c r="N438" t="inlineStr">
        <is>
          <t>KIRISOI</t>
        </is>
      </c>
      <c r="R438" s="3" t="inlineStr">
        <is>
          <t>30312</t>
        </is>
      </c>
      <c r="AE438" s="324" t="n">
        <v>470</v>
      </c>
      <c r="AF438" s="324" t="inlineStr">
        <is>
          <t>Sikusi</t>
        </is>
      </c>
      <c r="AG438" s="324" t="n">
        <v>192</v>
      </c>
      <c r="AU438" t="n">
        <v>91</v>
      </c>
      <c r="AV438" t="inlineStr">
        <is>
          <t>NAIVASHA BRANCH</t>
        </is>
      </c>
      <c r="AW438" t="n">
        <v>1</v>
      </c>
      <c r="AX438" s="4" t="n"/>
    </row>
    <row r="439">
      <c r="A439" s="305" t="inlineStr">
        <is>
          <t>SAO TOME AND PRINCIPE</t>
        </is>
      </c>
      <c r="B439" s="306" t="n">
        <v>151</v>
      </c>
      <c r="M439" s="3" t="inlineStr">
        <is>
          <t>60113</t>
        </is>
      </c>
      <c r="N439" t="inlineStr">
        <is>
          <t>KIRITIRI</t>
        </is>
      </c>
      <c r="R439" s="3" t="inlineStr">
        <is>
          <t>30313</t>
        </is>
      </c>
      <c r="AE439" s="324" t="n">
        <v>475</v>
      </c>
      <c r="AF439" s="324" t="inlineStr">
        <is>
          <t>Sirare</t>
        </is>
      </c>
      <c r="AG439" s="324" t="n">
        <v>192</v>
      </c>
      <c r="AU439" t="n">
        <v>9</v>
      </c>
      <c r="AV439" t="inlineStr">
        <is>
          <t>NAKURU BRANCH/EGERTON UN</t>
        </is>
      </c>
      <c r="AW439" t="n">
        <v>1</v>
      </c>
      <c r="AX439" s="4" t="n"/>
    </row>
    <row r="440">
      <c r="A440" s="305" t="inlineStr">
        <is>
          <t>SAUDI ARABIA</t>
        </is>
      </c>
      <c r="B440" s="306" t="n">
        <v>152</v>
      </c>
      <c r="M440" s="3" t="inlineStr">
        <is>
          <t>50313</t>
        </is>
      </c>
      <c r="N440" t="inlineStr">
        <is>
          <t>KIRITU</t>
        </is>
      </c>
      <c r="R440" s="3" t="inlineStr">
        <is>
          <t>30314</t>
        </is>
      </c>
      <c r="AE440" s="324" t="n">
        <v>492</v>
      </c>
      <c r="AF440" s="324" t="inlineStr">
        <is>
          <t>Teremi</t>
        </is>
      </c>
      <c r="AG440" s="324" t="n">
        <v>192</v>
      </c>
      <c r="AU440" t="n">
        <v>47</v>
      </c>
      <c r="AV440" t="inlineStr">
        <is>
          <t>NANDI HILLS BRANCH</t>
        </is>
      </c>
      <c r="AW440" t="n">
        <v>1</v>
      </c>
      <c r="AX440" s="4" t="n"/>
    </row>
    <row r="441">
      <c r="A441" s="305" t="inlineStr">
        <is>
          <t>SENEGAL</t>
        </is>
      </c>
      <c r="B441" s="306" t="n">
        <v>153</v>
      </c>
      <c r="M441" s="3" t="inlineStr">
        <is>
          <t>01017</t>
        </is>
      </c>
      <c r="N441" t="inlineStr">
        <is>
          <t>KIRIUA</t>
        </is>
      </c>
      <c r="R441" s="3" t="inlineStr">
        <is>
          <t>30315</t>
        </is>
      </c>
      <c r="AE441" s="324" t="n">
        <v>21</v>
      </c>
      <c r="AF441" s="324" t="inlineStr">
        <is>
          <t>Bilongo</t>
        </is>
      </c>
      <c r="AG441" s="324" t="n">
        <v>193</v>
      </c>
      <c r="AU441" t="n">
        <v>31</v>
      </c>
      <c r="AV441" t="inlineStr">
        <is>
          <t>NANYUKI BRANCH</t>
        </is>
      </c>
      <c r="AW441" t="n">
        <v>1</v>
      </c>
      <c r="AX441" s="4" t="n"/>
    </row>
    <row r="442">
      <c r="A442" s="305" t="inlineStr">
        <is>
          <t>SERBIA</t>
        </is>
      </c>
      <c r="B442" s="306" t="n">
        <v>154</v>
      </c>
      <c r="M442" s="3" t="inlineStr">
        <is>
          <t>20130</t>
        </is>
      </c>
      <c r="N442" t="inlineStr">
        <is>
          <t>KIROBON</t>
        </is>
      </c>
      <c r="R442" s="3" t="inlineStr">
        <is>
          <t>30400</t>
        </is>
      </c>
      <c r="AE442" s="324" t="n">
        <v>48</v>
      </c>
      <c r="AF442" s="324" t="inlineStr">
        <is>
          <t>Check Point</t>
        </is>
      </c>
      <c r="AG442" s="324" t="n">
        <v>193</v>
      </c>
      <c r="AU442" t="n">
        <v>86</v>
      </c>
      <c r="AV442" t="inlineStr">
        <is>
          <t>NAROK BRANCH</t>
        </is>
      </c>
      <c r="AW442" t="n">
        <v>1</v>
      </c>
      <c r="AX442" s="4" t="n"/>
    </row>
    <row r="443">
      <c r="A443" s="305" t="inlineStr">
        <is>
          <t>SEYCHELLES</t>
        </is>
      </c>
      <c r="B443" s="306" t="n">
        <v>155</v>
      </c>
      <c r="M443" s="3" t="inlineStr">
        <is>
          <t>01018</t>
        </is>
      </c>
      <c r="N443" t="inlineStr">
        <is>
          <t>KIRUARA</t>
        </is>
      </c>
      <c r="R443" s="3" t="inlineStr">
        <is>
          <t>30401</t>
        </is>
      </c>
      <c r="AE443" s="324" t="n">
        <v>65</v>
      </c>
      <c r="AF443" s="324" t="inlineStr">
        <is>
          <t>Dina</t>
        </is>
      </c>
      <c r="AG443" s="324" t="n">
        <v>193</v>
      </c>
      <c r="AU443" t="n">
        <v>28</v>
      </c>
      <c r="AV443" t="inlineStr">
        <is>
          <t>NYAHURURU BRANCH</t>
        </is>
      </c>
      <c r="AW443" t="n">
        <v>1</v>
      </c>
      <c r="AX443" s="4" t="n"/>
    </row>
    <row r="444">
      <c r="A444" s="305" t="inlineStr">
        <is>
          <t>SIERRA LEONE</t>
        </is>
      </c>
      <c r="B444" s="306" t="n">
        <v>156</v>
      </c>
      <c r="M444" s="3" t="inlineStr">
        <is>
          <t>20144</t>
        </is>
      </c>
      <c r="N444" t="inlineStr">
        <is>
          <t>KISANANA</t>
        </is>
      </c>
      <c r="R444" s="3" t="inlineStr">
        <is>
          <t>30402</t>
        </is>
      </c>
      <c r="AE444" s="324" t="n">
        <v>149</v>
      </c>
      <c r="AF444" s="324" t="inlineStr">
        <is>
          <t>Kakimanyi</t>
        </is>
      </c>
      <c r="AG444" s="324" t="n">
        <v>193</v>
      </c>
      <c r="AU444" t="n">
        <v>78</v>
      </c>
      <c r="AV444" t="inlineStr">
        <is>
          <t>NYAMIRA BRANCH</t>
        </is>
      </c>
      <c r="AW444" t="n">
        <v>1</v>
      </c>
      <c r="AX444" s="4" t="n"/>
    </row>
    <row r="445">
      <c r="A445" s="305" t="inlineStr">
        <is>
          <t>SINGAPORE</t>
        </is>
      </c>
      <c r="B445" s="306" t="n">
        <v>157</v>
      </c>
      <c r="M445" s="3" t="inlineStr">
        <is>
          <t>90204</t>
        </is>
      </c>
      <c r="N445" t="inlineStr">
        <is>
          <t>KISASI</t>
        </is>
      </c>
      <c r="R445" s="3" t="inlineStr">
        <is>
          <t>30403</t>
        </is>
      </c>
      <c r="AE445" s="324" t="n">
        <v>194</v>
      </c>
      <c r="AF445" s="324" t="inlineStr">
        <is>
          <t>Khalala</t>
        </is>
      </c>
      <c r="AG445" s="324" t="n">
        <v>193</v>
      </c>
      <c r="AU445" t="n">
        <v>18</v>
      </c>
      <c r="AV445" t="inlineStr">
        <is>
          <t>NYERI BRANCH</t>
        </is>
      </c>
      <c r="AW445" t="n">
        <v>1</v>
      </c>
      <c r="AX445" s="4" t="n"/>
    </row>
    <row r="446">
      <c r="A446" s="305" t="inlineStr">
        <is>
          <t>SLOVAKIA</t>
        </is>
      </c>
      <c r="B446" s="306" t="n">
        <v>158</v>
      </c>
      <c r="M446" s="3" t="inlineStr">
        <is>
          <t>00206</t>
        </is>
      </c>
      <c r="N446" t="inlineStr">
        <is>
          <t>KISERIAN</t>
        </is>
      </c>
      <c r="R446" s="3" t="inlineStr">
        <is>
          <t>30404</t>
        </is>
      </c>
      <c r="AE446" s="324" t="n">
        <v>244</v>
      </c>
      <c r="AF446" s="324" t="inlineStr">
        <is>
          <t>Kituni</t>
        </is>
      </c>
      <c r="AG446" s="324" t="n">
        <v>193</v>
      </c>
      <c r="AU446" t="n">
        <v>81</v>
      </c>
      <c r="AV446" t="inlineStr">
        <is>
          <t>OL KALOU BRANCH</t>
        </is>
      </c>
      <c r="AW446" t="n">
        <v>1</v>
      </c>
      <c r="AX446" s="4" t="n"/>
    </row>
    <row r="447">
      <c r="A447" s="305" t="inlineStr">
        <is>
          <t>SLOVENIA</t>
        </is>
      </c>
      <c r="B447" s="306" t="n">
        <v>159</v>
      </c>
      <c r="M447" s="3" t="inlineStr">
        <is>
          <t>40200</t>
        </is>
      </c>
      <c r="N447" t="inlineStr">
        <is>
          <t>KISII</t>
        </is>
      </c>
      <c r="R447" s="3" t="inlineStr">
        <is>
          <t>30405</t>
        </is>
      </c>
      <c r="AE447" s="324" t="n">
        <v>257</v>
      </c>
      <c r="AF447" s="324" t="inlineStr">
        <is>
          <t>Kuywa</t>
        </is>
      </c>
      <c r="AG447" s="324" t="n">
        <v>193</v>
      </c>
      <c r="AU447" t="n">
        <v>65</v>
      </c>
      <c r="AV447" t="inlineStr">
        <is>
          <t>ONGATA RONGAI BRANCH</t>
        </is>
      </c>
      <c r="AW447" t="n">
        <v>1</v>
      </c>
      <c r="AX447" s="4" t="n"/>
    </row>
    <row r="448">
      <c r="A448" s="305" t="inlineStr">
        <is>
          <t>SOLOMON ISLANDS</t>
        </is>
      </c>
      <c r="B448" s="306" t="n">
        <v>160</v>
      </c>
      <c r="M448" s="3" t="inlineStr">
        <is>
          <t>40100</t>
        </is>
      </c>
      <c r="N448" t="inlineStr">
        <is>
          <t>KISUMU</t>
        </is>
      </c>
      <c r="R448" s="3" t="inlineStr">
        <is>
          <t>30406</t>
        </is>
      </c>
      <c r="AE448" s="324" t="n">
        <v>280</v>
      </c>
      <c r="AF448" s="324" t="inlineStr">
        <is>
          <t>Lugulu</t>
        </is>
      </c>
      <c r="AG448" s="324" t="n">
        <v>193</v>
      </c>
      <c r="AU448" t="n">
        <v>87</v>
      </c>
      <c r="AV448" t="inlineStr">
        <is>
          <t>OTHAYA BRANCH</t>
        </is>
      </c>
      <c r="AW448" t="n">
        <v>1</v>
      </c>
      <c r="AX448" s="4" t="n"/>
    </row>
    <row r="449">
      <c r="A449" s="305" t="inlineStr">
        <is>
          <t>SOMALIA</t>
        </is>
      </c>
      <c r="B449" s="306" t="n">
        <v>161</v>
      </c>
      <c r="M449" s="3" t="inlineStr">
        <is>
          <t>30200</t>
        </is>
      </c>
      <c r="N449" t="inlineStr">
        <is>
          <t>KITALE</t>
        </is>
      </c>
      <c r="R449" s="3" t="inlineStr">
        <is>
          <t>30407</t>
        </is>
      </c>
      <c r="AE449" s="324" t="n">
        <v>282</v>
      </c>
      <c r="AF449" s="324" t="inlineStr">
        <is>
          <t>Lukusi</t>
        </is>
      </c>
      <c r="AG449" s="324" t="n">
        <v>193</v>
      </c>
      <c r="AU449" t="n">
        <v>20</v>
      </c>
      <c r="AV449" t="inlineStr">
        <is>
          <t>RIVER ROAD BRANCH</t>
        </is>
      </c>
      <c r="AW449" t="n">
        <v>1</v>
      </c>
      <c r="AX449" s="4" t="n"/>
    </row>
    <row r="450">
      <c r="A450" s="305" t="inlineStr">
        <is>
          <t>SOUTH AFRICA</t>
        </is>
      </c>
      <c r="B450" s="306" t="n">
        <v>162</v>
      </c>
      <c r="M450" s="3" t="inlineStr">
        <is>
          <t>00242</t>
        </is>
      </c>
      <c r="N450" t="inlineStr">
        <is>
          <t>KITENGELA</t>
        </is>
      </c>
      <c r="R450" s="3" t="inlineStr">
        <is>
          <t>30408</t>
        </is>
      </c>
      <c r="AE450" s="324" t="n">
        <v>285</v>
      </c>
      <c r="AF450" s="324" t="inlineStr">
        <is>
          <t>Lutacho</t>
        </is>
      </c>
      <c r="AG450" s="324" t="n">
        <v>193</v>
      </c>
      <c r="AU450" t="n">
        <v>51</v>
      </c>
      <c r="AV450" t="inlineStr">
        <is>
          <t>RUIRU BRANCH</t>
        </is>
      </c>
      <c r="AW450" t="n">
        <v>1</v>
      </c>
      <c r="AX450" s="4" t="n"/>
    </row>
    <row r="451">
      <c r="A451" s="305" t="inlineStr">
        <is>
          <t>SPAIN</t>
        </is>
      </c>
      <c r="B451" s="306" t="n">
        <v>163</v>
      </c>
      <c r="M451" s="3" t="inlineStr">
        <is>
          <t>90124</t>
        </is>
      </c>
      <c r="N451" t="inlineStr">
        <is>
          <t>KITHIMANI</t>
        </is>
      </c>
      <c r="R451" s="3" t="inlineStr">
        <is>
          <t>30409</t>
        </is>
      </c>
      <c r="AE451" s="324" t="n">
        <v>297</v>
      </c>
      <c r="AF451" s="324" t="inlineStr">
        <is>
          <t>Makemo</t>
        </is>
      </c>
      <c r="AG451" s="324" t="n">
        <v>193</v>
      </c>
      <c r="AU451" t="n">
        <v>45</v>
      </c>
      <c r="AV451" t="inlineStr">
        <is>
          <t>SARIT/KAREN BRANCH</t>
        </is>
      </c>
      <c r="AW451" t="n">
        <v>1</v>
      </c>
      <c r="AX451" s="4" t="n"/>
    </row>
    <row r="452">
      <c r="A452" s="305" t="inlineStr">
        <is>
          <t>SRI LANKA</t>
        </is>
      </c>
      <c r="B452" s="306" t="n">
        <v>164</v>
      </c>
      <c r="M452" s="3" t="inlineStr">
        <is>
          <t>60114</t>
        </is>
      </c>
      <c r="N452" t="inlineStr">
        <is>
          <t>KITHIMU</t>
        </is>
      </c>
      <c r="R452" s="3" t="inlineStr">
        <is>
          <t>30410</t>
        </is>
      </c>
      <c r="AE452" s="324" t="n">
        <v>298</v>
      </c>
      <c r="AF452" s="324" t="inlineStr">
        <is>
          <t>Makhese</t>
        </is>
      </c>
      <c r="AG452" s="324" t="n">
        <v>193</v>
      </c>
      <c r="AU452" t="n">
        <v>27</v>
      </c>
      <c r="AV452" t="inlineStr">
        <is>
          <t>SIAYA BRANCH</t>
        </is>
      </c>
      <c r="AW452" t="n">
        <v>1</v>
      </c>
      <c r="AX452" s="4" t="n"/>
    </row>
    <row r="453">
      <c r="A453" s="305" t="inlineStr">
        <is>
          <t>SUDAN</t>
        </is>
      </c>
      <c r="B453" s="306" t="n">
        <v>165</v>
      </c>
      <c r="M453" s="3" t="inlineStr">
        <is>
          <t>90410</t>
        </is>
      </c>
      <c r="N453" t="inlineStr">
        <is>
          <t>KITHYOKO</t>
        </is>
      </c>
      <c r="R453" s="3" t="inlineStr">
        <is>
          <t>30411</t>
        </is>
      </c>
      <c r="AE453" s="324" t="n">
        <v>300</v>
      </c>
      <c r="AF453" s="324" t="inlineStr">
        <is>
          <t>Makuma</t>
        </is>
      </c>
      <c r="AG453" s="324" t="n">
        <v>193</v>
      </c>
      <c r="AU453" t="n">
        <v>90</v>
      </c>
      <c r="AV453" t="inlineStr">
        <is>
          <t>SOTIK BRANCH</t>
        </is>
      </c>
      <c r="AW453" t="n">
        <v>1</v>
      </c>
      <c r="AX453" s="4" t="n"/>
    </row>
    <row r="454">
      <c r="A454" s="305" t="inlineStr">
        <is>
          <t>SURINAME</t>
        </is>
      </c>
      <c r="B454" s="306" t="n">
        <v>166</v>
      </c>
      <c r="M454" s="3" t="inlineStr">
        <is>
          <t>90303</t>
        </is>
      </c>
      <c r="N454" t="inlineStr">
        <is>
          <t>KITISE</t>
        </is>
      </c>
      <c r="R454" s="3" t="inlineStr">
        <is>
          <t>30500</t>
        </is>
      </c>
      <c r="AE454" s="324" t="n">
        <v>307</v>
      </c>
      <c r="AF454" s="324" t="inlineStr">
        <is>
          <t>Malaha</t>
        </is>
      </c>
      <c r="AG454" s="324" t="n">
        <v>193</v>
      </c>
      <c r="AU454" t="n">
        <v>35</v>
      </c>
      <c r="AV454" t="inlineStr">
        <is>
          <t>TALA BRANCH</t>
        </is>
      </c>
      <c r="AW454" t="n">
        <v>1</v>
      </c>
      <c r="AX454" s="4" t="n"/>
    </row>
    <row r="455">
      <c r="A455" s="305" t="inlineStr">
        <is>
          <t>SWAZILAND</t>
        </is>
      </c>
      <c r="B455" s="306" t="n">
        <v>167</v>
      </c>
      <c r="M455" s="3" t="inlineStr">
        <is>
          <t>80316</t>
        </is>
      </c>
      <c r="N455" t="inlineStr">
        <is>
          <t>KITIVO</t>
        </is>
      </c>
      <c r="R455" s="3" t="inlineStr">
        <is>
          <t>30501</t>
        </is>
      </c>
      <c r="AE455" s="324" t="n">
        <v>323</v>
      </c>
      <c r="AF455" s="324" t="inlineStr">
        <is>
          <t>Maraka</t>
        </is>
      </c>
      <c r="AG455" s="324" t="n">
        <v>193</v>
      </c>
      <c r="AU455" t="n">
        <v>14</v>
      </c>
      <c r="AV455" t="inlineStr">
        <is>
          <t>THIKA BRANCH</t>
        </is>
      </c>
      <c r="AW455" t="n">
        <v>1</v>
      </c>
      <c r="AX455" s="4" t="n"/>
    </row>
    <row r="456">
      <c r="A456" s="305" t="inlineStr">
        <is>
          <t>SWEDEN</t>
        </is>
      </c>
      <c r="B456" s="306" t="n">
        <v>168</v>
      </c>
      <c r="M456" s="3" t="inlineStr">
        <is>
          <t>90200</t>
        </is>
      </c>
      <c r="N456" t="inlineStr">
        <is>
          <t>KITUI</t>
        </is>
      </c>
      <c r="R456" s="3" t="inlineStr">
        <is>
          <t>30502</t>
        </is>
      </c>
      <c r="AE456" s="324" t="n">
        <v>338</v>
      </c>
      <c r="AF456" s="324" t="inlineStr">
        <is>
          <t>Matisi</t>
        </is>
      </c>
      <c r="AG456" s="324" t="n">
        <v>193</v>
      </c>
      <c r="AU456" t="n">
        <v>13</v>
      </c>
      <c r="AV456" t="inlineStr">
        <is>
          <t>TOM MBOYA STREET BRANCH</t>
        </is>
      </c>
      <c r="AW456" t="n">
        <v>1</v>
      </c>
      <c r="AX456" s="4" t="n"/>
    </row>
    <row r="457">
      <c r="A457" s="305" t="inlineStr">
        <is>
          <t>SWITZERLAND</t>
        </is>
      </c>
      <c r="B457" s="306" t="n">
        <v>169</v>
      </c>
      <c r="M457" s="3" t="inlineStr">
        <is>
          <t>01019</t>
        </is>
      </c>
      <c r="N457" t="inlineStr">
        <is>
          <t>KIUNYU</t>
        </is>
      </c>
      <c r="R457" s="3" t="inlineStr">
        <is>
          <t>30503</t>
        </is>
      </c>
      <c r="AE457" s="324" t="n">
        <v>339</v>
      </c>
      <c r="AF457" s="324" t="inlineStr">
        <is>
          <t>Matulo</t>
        </is>
      </c>
      <c r="AG457" s="324" t="n">
        <v>193</v>
      </c>
      <c r="AU457" t="n">
        <v>37</v>
      </c>
      <c r="AV457" t="inlineStr">
        <is>
          <t>TOWN CENTRE BRANCH</t>
        </is>
      </c>
      <c r="AW457" t="n">
        <v>1</v>
      </c>
      <c r="AX457" s="4" t="n"/>
    </row>
    <row r="458">
      <c r="A458" s="305" t="inlineStr">
        <is>
          <t>SYRIA</t>
        </is>
      </c>
      <c r="B458" s="306" t="n">
        <v>170</v>
      </c>
      <c r="M458" s="3" t="inlineStr">
        <is>
          <t>90218</t>
        </is>
      </c>
      <c r="N458" t="inlineStr">
        <is>
          <t>KIUSYANI</t>
        </is>
      </c>
      <c r="R458" s="3" t="inlineStr">
        <is>
          <t>30504</t>
        </is>
      </c>
      <c r="AE458" s="324" t="n">
        <v>352</v>
      </c>
      <c r="AF458" s="324" t="inlineStr">
        <is>
          <t>Milo</t>
        </is>
      </c>
      <c r="AG458" s="324" t="n">
        <v>193</v>
      </c>
      <c r="AU458" t="n">
        <v>8</v>
      </c>
      <c r="AV458" t="inlineStr">
        <is>
          <t>TREASURY SQUARE/KENGELENI SATT</t>
        </is>
      </c>
      <c r="AW458" t="n">
        <v>1</v>
      </c>
      <c r="AX458" s="4" t="n"/>
    </row>
    <row r="459">
      <c r="A459" s="305" t="inlineStr">
        <is>
          <t>TAIWAN</t>
        </is>
      </c>
      <c r="B459" s="306" t="n">
        <v>171</v>
      </c>
      <c r="M459" s="3" t="inlineStr">
        <is>
          <t>90116</t>
        </is>
      </c>
      <c r="N459" t="inlineStr">
        <is>
          <t>KIVAANI</t>
        </is>
      </c>
      <c r="R459" s="3" t="inlineStr">
        <is>
          <t>30505</t>
        </is>
      </c>
      <c r="AE459" s="324" t="n">
        <v>354</v>
      </c>
      <c r="AF459" s="324" t="inlineStr">
        <is>
          <t>Misikhu</t>
        </is>
      </c>
      <c r="AG459" s="324" t="n">
        <v>193</v>
      </c>
      <c r="AU459" t="n">
        <v>38</v>
      </c>
      <c r="AV459" t="inlineStr">
        <is>
          <t>TRUSTEE DEPARTMENT BRANCH</t>
        </is>
      </c>
      <c r="AW459" t="n">
        <v>1</v>
      </c>
      <c r="AX459" s="4" t="n"/>
    </row>
    <row r="460">
      <c r="A460" s="305" t="inlineStr">
        <is>
          <t>TAJIKISTAN</t>
        </is>
      </c>
      <c r="B460" s="306" t="n">
        <v>172</v>
      </c>
      <c r="M460" s="3" t="inlineStr">
        <is>
          <t>90111</t>
        </is>
      </c>
      <c r="N460" t="inlineStr">
        <is>
          <t>KIVUNGA</t>
        </is>
      </c>
      <c r="R460" s="3" t="inlineStr">
        <is>
          <t>30506</t>
        </is>
      </c>
      <c r="AE460" s="324" t="n">
        <v>364</v>
      </c>
      <c r="AF460" s="324" t="inlineStr">
        <is>
          <t>Muji</t>
        </is>
      </c>
      <c r="AG460" s="324" t="n">
        <v>193</v>
      </c>
      <c r="AU460" t="n">
        <v>61</v>
      </c>
      <c r="AV460" t="inlineStr">
        <is>
          <t>UKUNDA BRANCH</t>
        </is>
      </c>
      <c r="AW460" t="n">
        <v>1</v>
      </c>
      <c r="AX460" s="4" t="n"/>
    </row>
    <row r="461">
      <c r="A461" s="305" t="inlineStr">
        <is>
          <t>TANZANIA</t>
        </is>
      </c>
      <c r="B461" s="306" t="n">
        <v>173</v>
      </c>
      <c r="M461" s="3" t="inlineStr">
        <is>
          <t>30305</t>
        </is>
      </c>
      <c r="N461" t="inlineStr">
        <is>
          <t>KOBUJOI</t>
        </is>
      </c>
      <c r="R461" s="3" t="inlineStr">
        <is>
          <t>30507</t>
        </is>
      </c>
      <c r="AE461" s="324" t="n">
        <v>393</v>
      </c>
      <c r="AF461" s="324" t="inlineStr">
        <is>
          <t>Nabuyole</t>
        </is>
      </c>
      <c r="AG461" s="324" t="n">
        <v>193</v>
      </c>
      <c r="AU461" t="n">
        <v>69</v>
      </c>
      <c r="AV461" t="inlineStr">
        <is>
          <t>UNIVERSITY WAY BRANCH</t>
        </is>
      </c>
      <c r="AW461" t="n">
        <v>1</v>
      </c>
      <c r="AX461" s="4" t="n"/>
    </row>
    <row r="462">
      <c r="A462" s="305" t="inlineStr">
        <is>
          <t>THAILAND</t>
        </is>
      </c>
      <c r="B462" s="306" t="n">
        <v>174</v>
      </c>
      <c r="M462" s="3" t="inlineStr">
        <is>
          <t>50420</t>
        </is>
      </c>
      <c r="N462" t="inlineStr">
        <is>
          <t>KOCHOLYA</t>
        </is>
      </c>
      <c r="R462" s="3" t="inlineStr">
        <is>
          <t>30508</t>
        </is>
      </c>
      <c r="AE462" s="324" t="n">
        <v>401</v>
      </c>
      <c r="AF462" s="324" t="inlineStr">
        <is>
          <t>Nambalayi</t>
        </is>
      </c>
      <c r="AG462" s="324" t="n">
        <v>193</v>
      </c>
      <c r="AU462" t="n">
        <v>82</v>
      </c>
      <c r="AV462" t="inlineStr">
        <is>
          <t>VILLAGE MARKET BRANCH</t>
        </is>
      </c>
      <c r="AW462" t="n">
        <v>1</v>
      </c>
      <c r="AX462" s="4" t="n"/>
    </row>
    <row r="463">
      <c r="A463" s="305" t="inlineStr">
        <is>
          <t>TOGO</t>
        </is>
      </c>
      <c r="B463" s="306" t="n">
        <v>175</v>
      </c>
      <c r="M463" s="3" t="inlineStr">
        <is>
          <t>40316</t>
        </is>
      </c>
      <c r="N463" t="inlineStr">
        <is>
          <t>KODULA</t>
        </is>
      </c>
      <c r="R463" s="3" t="inlineStr">
        <is>
          <t>30600</t>
        </is>
      </c>
      <c r="AE463" s="324" t="n">
        <v>404</v>
      </c>
      <c r="AF463" s="324" t="inlineStr">
        <is>
          <t>Nangili</t>
        </is>
      </c>
      <c r="AG463" s="324" t="n">
        <v>193</v>
      </c>
      <c r="AU463" t="n">
        <v>88</v>
      </c>
      <c r="AV463" t="inlineStr">
        <is>
          <t>VOI BRANCH</t>
        </is>
      </c>
      <c r="AW463" t="n">
        <v>1</v>
      </c>
      <c r="AX463" s="4" t="n"/>
    </row>
    <row r="464">
      <c r="A464" s="305" t="inlineStr">
        <is>
          <t>TONGA</t>
        </is>
      </c>
      <c r="B464" s="306" t="n">
        <v>176</v>
      </c>
      <c r="M464" s="3" t="inlineStr">
        <is>
          <t>20136</t>
        </is>
      </c>
      <c r="N464" t="inlineStr">
        <is>
          <t>KOIGE</t>
        </is>
      </c>
      <c r="R464" s="3" t="inlineStr">
        <is>
          <t>30601</t>
        </is>
      </c>
      <c r="AE464" s="324" t="n">
        <v>427</v>
      </c>
      <c r="AF464" s="324" t="inlineStr">
        <is>
          <t>Ngwelo</t>
        </is>
      </c>
      <c r="AG464" s="324" t="n">
        <v>193</v>
      </c>
      <c r="AU464" t="n">
        <v>57</v>
      </c>
      <c r="AV464" t="inlineStr">
        <is>
          <t>WAJIR BRANCH</t>
        </is>
      </c>
      <c r="AW464" t="n">
        <v>1</v>
      </c>
      <c r="AX464" s="4" t="n"/>
    </row>
    <row r="465">
      <c r="A465" s="305" t="inlineStr">
        <is>
          <t>TRINIDAD AND TOBAGO</t>
        </is>
      </c>
      <c r="B465" s="306" t="n">
        <v>177</v>
      </c>
      <c r="M465" s="3" t="inlineStr">
        <is>
          <t>30314</t>
        </is>
      </c>
      <c r="N465" t="inlineStr">
        <is>
          <t>KOILOT</t>
        </is>
      </c>
      <c r="R465" s="3" t="inlineStr">
        <is>
          <t>30602</t>
        </is>
      </c>
      <c r="AE465" s="324" t="n">
        <v>450</v>
      </c>
      <c r="AF465" s="324" t="inlineStr">
        <is>
          <t>Sabana</t>
        </is>
      </c>
      <c r="AG465" s="324" t="n">
        <v>193</v>
      </c>
      <c r="AU465" t="n">
        <v>89</v>
      </c>
      <c r="AV465" t="inlineStr">
        <is>
          <t>WEBUYE BRANCH</t>
        </is>
      </c>
      <c r="AW465" t="n">
        <v>1</v>
      </c>
      <c r="AX465" s="4" t="n"/>
    </row>
    <row r="466">
      <c r="A466" s="305" t="inlineStr">
        <is>
          <t>TUNISIA</t>
        </is>
      </c>
      <c r="B466" s="306" t="n">
        <v>178</v>
      </c>
      <c r="M466" s="3" t="inlineStr">
        <is>
          <t>20417</t>
        </is>
      </c>
      <c r="N466" t="inlineStr">
        <is>
          <t>KOIWA</t>
        </is>
      </c>
      <c r="R466" s="3" t="inlineStr">
        <is>
          <t>30603</t>
        </is>
      </c>
      <c r="AE466" s="324" t="n">
        <v>478</v>
      </c>
      <c r="AF466" s="324" t="inlineStr">
        <is>
          <t>Sitikho</t>
        </is>
      </c>
      <c r="AG466" s="324" t="n">
        <v>193</v>
      </c>
      <c r="AU466" t="n">
        <v>5</v>
      </c>
      <c r="AV466" t="inlineStr">
        <is>
          <t>WOTE BRANCH</t>
        </is>
      </c>
      <c r="AW466" t="n">
        <v>1</v>
      </c>
      <c r="AX466" s="4" t="n"/>
    </row>
    <row r="467">
      <c r="A467" s="305" t="inlineStr">
        <is>
          <t>TURKEY</t>
        </is>
      </c>
      <c r="B467" s="306" t="n">
        <v>179</v>
      </c>
      <c r="M467" s="3" t="inlineStr">
        <is>
          <t>40317</t>
        </is>
      </c>
      <c r="N467" t="inlineStr">
        <is>
          <t>KOJWANG</t>
        </is>
      </c>
      <c r="R467" s="3" t="inlineStr">
        <is>
          <t>30604</t>
        </is>
      </c>
      <c r="AE467" s="324" t="n">
        <v>487</v>
      </c>
      <c r="AF467" s="324" t="inlineStr">
        <is>
          <t>T Junction</t>
        </is>
      </c>
      <c r="AG467" s="324" t="n">
        <v>193</v>
      </c>
      <c r="AU467" t="n">
        <v>99</v>
      </c>
      <c r="AV467" t="inlineStr">
        <is>
          <t>WUNDANYI BRANCH</t>
        </is>
      </c>
      <c r="AW467" t="n">
        <v>1</v>
      </c>
      <c r="AX467" s="4" t="n"/>
    </row>
    <row r="468">
      <c r="A468" s="305" t="inlineStr">
        <is>
          <t>TURKMENISTAN</t>
        </is>
      </c>
      <c r="B468" s="306" t="n">
        <v>180</v>
      </c>
      <c r="M468" s="3" t="inlineStr">
        <is>
          <t>90108</t>
        </is>
      </c>
      <c r="N468" t="inlineStr">
        <is>
          <t>KOLA</t>
        </is>
      </c>
      <c r="R468" s="3" t="inlineStr">
        <is>
          <t>30605</t>
        </is>
      </c>
      <c r="AE468" s="324" t="n">
        <v>493</v>
      </c>
      <c r="AF468" s="324" t="inlineStr">
        <is>
          <t>Tete</t>
        </is>
      </c>
      <c r="AG468" s="324" t="n">
        <v>193</v>
      </c>
      <c r="AU468" t="n">
        <v>326</v>
      </c>
      <c r="AV468" t="inlineStr">
        <is>
          <t>DIGO ROAD BRANCH</t>
        </is>
      </c>
      <c r="AW468" t="n">
        <v>18</v>
      </c>
      <c r="AX468" s="4" t="n"/>
    </row>
    <row r="469">
      <c r="A469" s="305" t="inlineStr">
        <is>
          <t>TUVALU</t>
        </is>
      </c>
      <c r="B469" s="306" t="n">
        <v>181</v>
      </c>
      <c r="M469" s="3" t="inlineStr">
        <is>
          <t>50217</t>
        </is>
      </c>
      <c r="N469" t="inlineStr">
        <is>
          <t>KOLANYA</t>
        </is>
      </c>
      <c r="R469" s="3" t="inlineStr">
        <is>
          <t>30700</t>
        </is>
      </c>
      <c r="AE469" s="324" t="n">
        <v>516</v>
      </c>
      <c r="AF469" s="324" t="inlineStr">
        <is>
          <t>Webuye Cbd</t>
        </is>
      </c>
      <c r="AG469" s="324" t="n">
        <v>193</v>
      </c>
      <c r="AU469" t="n">
        <v>324</v>
      </c>
      <c r="AV469" t="inlineStr">
        <is>
          <t>HEAD OFFICE</t>
        </is>
      </c>
      <c r="AW469" t="n">
        <v>18</v>
      </c>
      <c r="AX469" s="4" t="n"/>
    </row>
    <row r="470">
      <c r="A470" s="305" t="inlineStr">
        <is>
          <t>UGANDA</t>
        </is>
      </c>
      <c r="B470" s="306" t="n">
        <v>182</v>
      </c>
      <c r="M470" s="3" t="inlineStr">
        <is>
          <t>40102</t>
        </is>
      </c>
      <c r="N470" t="inlineStr">
        <is>
          <t>KOMBEWA</t>
        </is>
      </c>
      <c r="R470" s="3" t="inlineStr">
        <is>
          <t>30701</t>
        </is>
      </c>
      <c r="AE470" s="324" t="n">
        <v>522</v>
      </c>
      <c r="AF470" s="324" t="inlineStr">
        <is>
          <t>Yalusi</t>
        </is>
      </c>
      <c r="AG470" s="324" t="n">
        <v>193</v>
      </c>
      <c r="AU470" t="n">
        <v>325</v>
      </c>
      <c r="AV470" t="inlineStr">
        <is>
          <t>KENYATTA AVENUE BRANCH</t>
        </is>
      </c>
      <c r="AW470" t="n">
        <v>18</v>
      </c>
      <c r="AX470" s="4" t="n"/>
    </row>
    <row r="471">
      <c r="A471" s="305" t="inlineStr">
        <is>
          <t>UKRAINE</t>
        </is>
      </c>
      <c r="B471" s="306" t="n">
        <v>183</v>
      </c>
      <c r="M471" s="3" t="inlineStr">
        <is>
          <t>40103</t>
        </is>
      </c>
      <c r="N471" t="inlineStr">
        <is>
          <t>KONDELE</t>
        </is>
      </c>
      <c r="R471" s="3" t="inlineStr">
        <is>
          <t>30702</t>
        </is>
      </c>
      <c r="AE471" s="324" t="n">
        <v>25</v>
      </c>
      <c r="AF471" s="324" t="inlineStr">
        <is>
          <t>Brigadier</t>
        </is>
      </c>
      <c r="AG471" s="324" t="n">
        <v>194</v>
      </c>
      <c r="AU471" t="n">
        <v>307</v>
      </c>
      <c r="AV471" t="inlineStr">
        <is>
          <t>AWENDO BRANCH</t>
        </is>
      </c>
      <c r="AW471" t="n">
        <v>12</v>
      </c>
      <c r="AX471" s="4" t="n"/>
    </row>
    <row r="472">
      <c r="A472" s="305" t="inlineStr">
        <is>
          <t>UNITED ARAB EMIRATES</t>
        </is>
      </c>
      <c r="B472" s="306" t="n">
        <v>184</v>
      </c>
      <c r="M472" s="3" t="inlineStr">
        <is>
          <t>40121</t>
        </is>
      </c>
      <c r="N472" t="inlineStr">
        <is>
          <t>KONDIK</t>
        </is>
      </c>
      <c r="R472" s="3" t="inlineStr">
        <is>
          <t>30703</t>
        </is>
      </c>
      <c r="AE472" s="324" t="n">
        <v>312</v>
      </c>
      <c r="AF472" s="324" t="inlineStr">
        <is>
          <t>Maliki</t>
        </is>
      </c>
      <c r="AG472" s="324" t="n">
        <v>194</v>
      </c>
      <c r="AU472" t="n">
        <v>305</v>
      </c>
      <c r="AV472" t="inlineStr">
        <is>
          <t>BUNGOMA BRANCH</t>
        </is>
      </c>
      <c r="AW472" t="n">
        <v>12</v>
      </c>
      <c r="AX472" s="4" t="n"/>
    </row>
    <row r="473">
      <c r="A473" s="305" t="inlineStr">
        <is>
          <t>UNITED KINGDOM</t>
        </is>
      </c>
      <c r="B473" s="306" t="n">
        <v>185</v>
      </c>
      <c r="M473" s="3" t="inlineStr">
        <is>
          <t>00212</t>
        </is>
      </c>
      <c r="N473" t="inlineStr">
        <is>
          <t>KONZA</t>
        </is>
      </c>
      <c r="R473" s="3" t="inlineStr">
        <is>
          <t>30704</t>
        </is>
      </c>
      <c r="AE473" s="324" t="n">
        <v>362</v>
      </c>
      <c r="AF473" s="324" t="inlineStr">
        <is>
          <t>Mufupi</t>
        </is>
      </c>
      <c r="AG473" s="324" t="n">
        <v>194</v>
      </c>
      <c r="AU473" t="n">
        <v>292</v>
      </c>
      <c r="AV473" t="inlineStr">
        <is>
          <t>BUSIA BRANCH</t>
        </is>
      </c>
      <c r="AW473" t="n">
        <v>12</v>
      </c>
      <c r="AX473" s="4" t="n"/>
    </row>
    <row r="474">
      <c r="A474" s="305" t="inlineStr">
        <is>
          <t>UNITED STATES OF AMERICA</t>
        </is>
      </c>
      <c r="B474" s="306" t="n">
        <v>186</v>
      </c>
      <c r="M474" s="3" t="inlineStr">
        <is>
          <t>40644</t>
        </is>
      </c>
      <c r="N474" t="inlineStr">
        <is>
          <t>KOPOLO</t>
        </is>
      </c>
      <c r="R474" s="3" t="inlineStr">
        <is>
          <t>30705</t>
        </is>
      </c>
      <c r="AE474" s="324" t="n">
        <v>369</v>
      </c>
      <c r="AF474" s="324" t="inlineStr">
        <is>
          <t>Mukuyuni</t>
        </is>
      </c>
      <c r="AG474" s="324" t="n">
        <v>194</v>
      </c>
      <c r="AU474" t="n">
        <v>313</v>
      </c>
      <c r="AV474" t="inlineStr">
        <is>
          <t>CARD CENRE BRANCH</t>
        </is>
      </c>
      <c r="AW474" t="n">
        <v>12</v>
      </c>
      <c r="AX474" s="4" t="n"/>
    </row>
    <row r="475">
      <c r="A475" s="305" t="inlineStr">
        <is>
          <t>URUGUAY</t>
        </is>
      </c>
      <c r="B475" s="306" t="n">
        <v>187</v>
      </c>
      <c r="M475" s="3" t="inlineStr">
        <is>
          <t>40639</t>
        </is>
      </c>
      <c r="N475" t="inlineStr">
        <is>
          <t>KORACHA</t>
        </is>
      </c>
      <c r="R475" s="3" t="inlineStr">
        <is>
          <t>30706</t>
        </is>
      </c>
      <c r="AE475" s="324" t="n">
        <v>396</v>
      </c>
      <c r="AF475" s="324" t="inlineStr">
        <is>
          <t>Naitiri</t>
        </is>
      </c>
      <c r="AG475" s="324" t="n">
        <v>194</v>
      </c>
      <c r="AU475" t="n">
        <v>311</v>
      </c>
      <c r="AV475" t="inlineStr">
        <is>
          <t>ELDORET BRANCH</t>
        </is>
      </c>
      <c r="AW475" t="n">
        <v>12</v>
      </c>
      <c r="AX475" s="4" t="n"/>
    </row>
    <row r="476">
      <c r="A476" s="305" t="inlineStr">
        <is>
          <t>UZBEKISTAN</t>
        </is>
      </c>
      <c r="B476" s="306" t="n">
        <v>188</v>
      </c>
      <c r="M476" s="3" t="inlineStr">
        <is>
          <t>40104</t>
        </is>
      </c>
      <c r="N476" t="inlineStr">
        <is>
          <t>KORU</t>
        </is>
      </c>
      <c r="R476" s="3" t="inlineStr">
        <is>
          <t>30707</t>
        </is>
      </c>
      <c r="AE476" s="324" t="n">
        <v>412</v>
      </c>
      <c r="AF476" s="324" t="inlineStr">
        <is>
          <t>Ndalu</t>
        </is>
      </c>
      <c r="AG476" s="324" t="n">
        <v>194</v>
      </c>
      <c r="AU476" t="n">
        <v>290</v>
      </c>
      <c r="AV476" t="inlineStr">
        <is>
          <t>HARAMBEE AVENUE BRANCH</t>
        </is>
      </c>
      <c r="AW476" t="n">
        <v>12</v>
      </c>
      <c r="AX476" s="4" t="n"/>
    </row>
    <row r="477">
      <c r="A477" s="305" t="inlineStr">
        <is>
          <t>VANUATU</t>
        </is>
      </c>
      <c r="B477" s="306" t="n">
        <v>189</v>
      </c>
      <c r="M477" s="3" t="inlineStr">
        <is>
          <t>50117</t>
        </is>
      </c>
      <c r="N477" t="inlineStr">
        <is>
          <t>KOYONZO</t>
        </is>
      </c>
      <c r="R477" s="3" t="inlineStr">
        <is>
          <t>30708</t>
        </is>
      </c>
      <c r="AE477" s="324" t="n">
        <v>461</v>
      </c>
      <c r="AF477" s="324" t="inlineStr">
        <is>
          <t>Shikhendu</t>
        </is>
      </c>
      <c r="AG477" s="324" t="n">
        <v>194</v>
      </c>
      <c r="AU477" t="n">
        <v>314</v>
      </c>
      <c r="AV477" t="inlineStr">
        <is>
          <t>HEAD OFFICE</t>
        </is>
      </c>
      <c r="AW477" t="n">
        <v>12</v>
      </c>
      <c r="AX477" s="4" t="n"/>
    </row>
    <row r="478">
      <c r="A478" s="305" t="inlineStr">
        <is>
          <t>VANUATU</t>
        </is>
      </c>
      <c r="B478" s="306" t="n">
        <v>190</v>
      </c>
      <c r="M478" s="3" t="inlineStr">
        <is>
          <t>20224</t>
        </is>
      </c>
      <c r="N478" t="inlineStr">
        <is>
          <t>KURABEI</t>
        </is>
      </c>
      <c r="R478" s="3" t="inlineStr">
        <is>
          <t>30709</t>
        </is>
      </c>
      <c r="AE478" s="324" t="n">
        <v>498</v>
      </c>
      <c r="AF478" s="324" t="inlineStr">
        <is>
          <t>Tongaren</t>
        </is>
      </c>
      <c r="AG478" s="324" t="n">
        <v>194</v>
      </c>
      <c r="AU478" t="n">
        <v>291</v>
      </c>
      <c r="AV478" t="inlineStr">
        <is>
          <t>HILL BRANCH</t>
        </is>
      </c>
      <c r="AW478" t="n">
        <v>12</v>
      </c>
      <c r="AX478" s="4" t="n"/>
    </row>
    <row r="479">
      <c r="A479" s="305" t="inlineStr">
        <is>
          <t>VENEZUELA</t>
        </is>
      </c>
      <c r="B479" s="306" t="n">
        <v>191</v>
      </c>
      <c r="M479" s="3" t="inlineStr">
        <is>
          <t>10304</t>
        </is>
      </c>
      <c r="N479" t="inlineStr">
        <is>
          <t>KUTUS</t>
        </is>
      </c>
      <c r="R479" s="3" t="inlineStr">
        <is>
          <t>30710</t>
        </is>
      </c>
      <c r="AE479" s="324" t="n">
        <v>28</v>
      </c>
      <c r="AF479" s="324" t="inlineStr">
        <is>
          <t>Bukembe</t>
        </is>
      </c>
      <c r="AG479" s="324" t="n">
        <v>195</v>
      </c>
      <c r="AU479" t="n">
        <v>308</v>
      </c>
      <c r="AV479" t="inlineStr">
        <is>
          <t>HOSPITAL BRANCH</t>
        </is>
      </c>
      <c r="AW479" t="n">
        <v>12</v>
      </c>
      <c r="AX479" s="4" t="n"/>
    </row>
    <row r="480">
      <c r="A480" s="305" t="inlineStr">
        <is>
          <t>VIETNAM</t>
        </is>
      </c>
      <c r="B480" s="306" t="n">
        <v>192</v>
      </c>
      <c r="M480" s="3" t="inlineStr">
        <is>
          <t>80403</t>
        </is>
      </c>
      <c r="N480" t="inlineStr">
        <is>
          <t>KWALE</t>
        </is>
      </c>
      <c r="R480" s="3" t="inlineStr">
        <is>
          <t>30711</t>
        </is>
      </c>
      <c r="AE480" s="324" t="n">
        <v>41</v>
      </c>
      <c r="AF480" s="324" t="inlineStr">
        <is>
          <t>Cbd</t>
        </is>
      </c>
      <c r="AG480" s="324" t="n">
        <v>195</v>
      </c>
      <c r="AU480" t="n">
        <v>295</v>
      </c>
      <c r="AV480" t="inlineStr">
        <is>
          <t>KARATINA BRANCH</t>
        </is>
      </c>
      <c r="AW480" t="n">
        <v>12</v>
      </c>
      <c r="AX480" s="4" t="n"/>
    </row>
    <row r="481">
      <c r="A481" s="305" t="inlineStr">
        <is>
          <t>YEMEN</t>
        </is>
      </c>
      <c r="B481" s="306" t="n">
        <v>193</v>
      </c>
      <c r="M481" s="3" t="inlineStr">
        <is>
          <t>30210</t>
        </is>
      </c>
      <c r="N481" t="inlineStr">
        <is>
          <t>KWANZA</t>
        </is>
      </c>
      <c r="R481" s="3" t="inlineStr">
        <is>
          <t>30712</t>
        </is>
      </c>
      <c r="AE481" s="324" t="n">
        <v>161</v>
      </c>
      <c r="AF481" s="324" t="inlineStr">
        <is>
          <t>Kanduyi</t>
        </is>
      </c>
      <c r="AG481" s="324" t="n">
        <v>195</v>
      </c>
      <c r="AU481" t="n">
        <v>289</v>
      </c>
      <c r="AV481" t="inlineStr">
        <is>
          <t>KENYATTA AVENUE BRANCH</t>
        </is>
      </c>
      <c r="AW481" t="n">
        <v>12</v>
      </c>
      <c r="AX481" s="4" t="n"/>
    </row>
    <row r="482">
      <c r="A482" s="305" t="inlineStr">
        <is>
          <t>ZAMBIA</t>
        </is>
      </c>
      <c r="B482" s="306" t="n">
        <v>194</v>
      </c>
      <c r="M482" s="3" t="inlineStr">
        <is>
          <t>90215</t>
        </is>
      </c>
      <c r="N482" t="inlineStr">
        <is>
          <t>KWAVONZA</t>
        </is>
      </c>
      <c r="R482" s="3" t="inlineStr">
        <is>
          <t>40100</t>
        </is>
      </c>
      <c r="AE482" s="324" t="n">
        <v>195</v>
      </c>
      <c r="AF482" s="324" t="inlineStr">
        <is>
          <t>Khaweli</t>
        </is>
      </c>
      <c r="AG482" s="324" t="n">
        <v>195</v>
      </c>
      <c r="AU482" t="n">
        <v>300</v>
      </c>
      <c r="AV482" t="inlineStr">
        <is>
          <t>KERICHO BRANCH</t>
        </is>
      </c>
      <c r="AW482" t="n">
        <v>12</v>
      </c>
      <c r="AX482" s="4" t="n"/>
    </row>
    <row r="483">
      <c r="A483" s="305" t="inlineStr">
        <is>
          <t>ZIMBAMBWE</t>
        </is>
      </c>
      <c r="B483" s="306" t="n">
        <v>195</v>
      </c>
      <c r="M483" s="3" t="n">
        <v>90209</v>
      </c>
      <c r="N483" t="inlineStr">
        <is>
          <t>KYENI</t>
        </is>
      </c>
      <c r="R483" s="3" t="inlineStr">
        <is>
          <t>40101</t>
        </is>
      </c>
      <c r="AE483" s="324" t="n">
        <v>212</v>
      </c>
      <c r="AF483" s="324" t="inlineStr">
        <is>
          <t>Kibabii</t>
        </is>
      </c>
      <c r="AG483" s="324" t="n">
        <v>195</v>
      </c>
      <c r="AU483" t="n">
        <v>297</v>
      </c>
      <c r="AV483" t="inlineStr">
        <is>
          <t>KISII BRANCH</t>
        </is>
      </c>
      <c r="AW483" t="n">
        <v>12</v>
      </c>
      <c r="AX483" s="4" t="n"/>
    </row>
    <row r="484">
      <c r="A484" s="305" t="inlineStr">
        <is>
          <t>GUINEA-BISSAU</t>
        </is>
      </c>
      <c r="B484" s="306" t="n">
        <v>196</v>
      </c>
      <c r="M484" s="3" t="n">
        <v>90401</v>
      </c>
      <c r="N484" t="inlineStr">
        <is>
          <t>KYUSO</t>
        </is>
      </c>
      <c r="R484" s="3" t="inlineStr">
        <is>
          <t>40102</t>
        </is>
      </c>
      <c r="AE484" s="324" t="n">
        <v>242</v>
      </c>
      <c r="AF484" s="324" t="inlineStr">
        <is>
          <t>Kitale</t>
        </is>
      </c>
      <c r="AG484" s="324" t="n">
        <v>195</v>
      </c>
      <c r="AU484" t="n">
        <v>312</v>
      </c>
      <c r="AV484" t="inlineStr">
        <is>
          <t>KISUMU BRANCH</t>
        </is>
      </c>
      <c r="AW484" t="n">
        <v>12</v>
      </c>
      <c r="AX484" s="4" t="n"/>
    </row>
    <row r="485">
      <c r="M485" s="3" t="n">
        <v>60601</v>
      </c>
      <c r="N485" t="inlineStr">
        <is>
          <t>LAARE</t>
        </is>
      </c>
      <c r="R485" s="3" t="inlineStr">
        <is>
          <t>40103</t>
        </is>
      </c>
      <c r="AE485" s="324" t="n">
        <v>251</v>
      </c>
      <c r="AF485" s="324" t="inlineStr">
        <is>
          <t>Kongoli</t>
        </is>
      </c>
      <c r="AG485" s="324" t="n">
        <v>195</v>
      </c>
      <c r="AU485" t="n">
        <v>299</v>
      </c>
      <c r="AV485" t="inlineStr">
        <is>
          <t>KITALE BRANCH</t>
        </is>
      </c>
      <c r="AW485" t="n">
        <v>12</v>
      </c>
      <c r="AX485" s="4" t="n"/>
    </row>
    <row r="486">
      <c r="M486" s="3" t="n">
        <v>30126</v>
      </c>
      <c r="N486" t="inlineStr">
        <is>
          <t>LABORET</t>
        </is>
      </c>
      <c r="R486" s="3" t="inlineStr">
        <is>
          <t>40104</t>
        </is>
      </c>
      <c r="AE486" s="324" t="n">
        <v>286</v>
      </c>
      <c r="AF486" s="324" t="inlineStr">
        <is>
          <t>Lutungu</t>
        </is>
      </c>
      <c r="AG486" s="324" t="n">
        <v>195</v>
      </c>
      <c r="AU486" t="n">
        <v>303</v>
      </c>
      <c r="AV486" t="inlineStr">
        <is>
          <t>KITUI BRANCH</t>
        </is>
      </c>
      <c r="AW486" t="n">
        <v>12</v>
      </c>
      <c r="AX486" s="4" t="n"/>
    </row>
    <row r="487">
      <c r="M487" s="3" t="n">
        <v>40144</v>
      </c>
      <c r="N487" t="inlineStr">
        <is>
          <t>LABUIYWO</t>
        </is>
      </c>
      <c r="R487" s="3" t="inlineStr">
        <is>
          <t>40105</t>
        </is>
      </c>
      <c r="AE487" s="324" t="n">
        <v>290</v>
      </c>
      <c r="AF487" s="324" t="inlineStr">
        <is>
          <t>Lwanda</t>
        </is>
      </c>
      <c r="AG487" s="324" t="n">
        <v>195</v>
      </c>
      <c r="AU487" t="n">
        <v>302</v>
      </c>
      <c r="AV487" t="inlineStr">
        <is>
          <t>LIMURU BRANCH</t>
        </is>
      </c>
      <c r="AW487" t="n">
        <v>12</v>
      </c>
      <c r="AX487" s="4" t="n"/>
    </row>
    <row r="488">
      <c r="A488" t="inlineStr">
        <is>
          <t>PurposeOfPolicy</t>
        </is>
      </c>
      <c r="B488" t="inlineStr">
        <is>
          <t>PolicyCode</t>
        </is>
      </c>
      <c r="M488" s="3" t="n">
        <v>40122</v>
      </c>
      <c r="N488" t="inlineStr">
        <is>
          <t>LADHRI AWASI</t>
        </is>
      </c>
      <c r="R488" s="3" t="inlineStr">
        <is>
          <t>40106</t>
        </is>
      </c>
      <c r="AE488" s="324" t="n">
        <v>317</v>
      </c>
      <c r="AF488" s="324" t="inlineStr">
        <is>
          <t>Mandizini</t>
        </is>
      </c>
      <c r="AG488" s="324" t="n">
        <v>195</v>
      </c>
      <c r="AU488" t="n">
        <v>294</v>
      </c>
      <c r="AV488" t="inlineStr">
        <is>
          <t>MERU BRANCH</t>
        </is>
      </c>
      <c r="AW488" t="n">
        <v>12</v>
      </c>
      <c r="AX488" s="4" t="n"/>
    </row>
    <row r="489">
      <c r="A489" t="inlineStr">
        <is>
          <t>Education</t>
        </is>
      </c>
      <c r="B489" t="inlineStr">
        <is>
          <t>EDU</t>
        </is>
      </c>
      <c r="M489" s="3" t="n">
        <v>80500</v>
      </c>
      <c r="N489" t="inlineStr">
        <is>
          <t>LAMU</t>
        </is>
      </c>
      <c r="R489" s="3" t="inlineStr">
        <is>
          <t>40107</t>
        </is>
      </c>
      <c r="AE489" s="324" t="n">
        <v>318</v>
      </c>
      <c r="AF489" s="324" t="inlineStr">
        <is>
          <t>Mangana</t>
        </is>
      </c>
      <c r="AG489" s="324" t="n">
        <v>195</v>
      </c>
      <c r="AU489" t="n">
        <v>288</v>
      </c>
      <c r="AV489" t="inlineStr">
        <is>
          <t>MOI AVENUE BRANCH</t>
        </is>
      </c>
      <c r="AW489" t="n">
        <v>12</v>
      </c>
      <c r="AX489" s="4" t="n"/>
    </row>
    <row r="490">
      <c r="A490" t="inlineStr">
        <is>
          <t>Health</t>
        </is>
      </c>
      <c r="B490" t="inlineStr">
        <is>
          <t>HLTH</t>
        </is>
      </c>
      <c r="M490" s="3" t="n">
        <v>10139</v>
      </c>
      <c r="N490" t="inlineStr">
        <is>
          <t>LAMURIA</t>
        </is>
      </c>
      <c r="R490" s="3" t="inlineStr">
        <is>
          <t>40108</t>
        </is>
      </c>
      <c r="AE490" s="324" t="n">
        <v>330</v>
      </c>
      <c r="AF490" s="324" t="inlineStr">
        <is>
          <t>Marrel</t>
        </is>
      </c>
      <c r="AG490" s="324" t="n">
        <v>195</v>
      </c>
      <c r="AU490" t="n">
        <v>304</v>
      </c>
      <c r="AV490" t="inlineStr">
        <is>
          <t>MOLO BRANCH</t>
        </is>
      </c>
      <c r="AW490" t="n">
        <v>12</v>
      </c>
      <c r="AX490" s="4" t="n"/>
    </row>
    <row r="491">
      <c r="A491" t="inlineStr">
        <is>
          <t>Life</t>
        </is>
      </c>
      <c r="B491" t="inlineStr">
        <is>
          <t>LIFE</t>
        </is>
      </c>
      <c r="M491" s="3" t="n">
        <v>20112</v>
      </c>
      <c r="N491" t="inlineStr">
        <is>
          <t>LANET</t>
        </is>
      </c>
      <c r="R491" s="3" t="inlineStr">
        <is>
          <t>40109</t>
        </is>
      </c>
      <c r="AE491" s="324" t="n">
        <v>333</v>
      </c>
      <c r="AF491" s="324" t="inlineStr">
        <is>
          <t>Mashambani</t>
        </is>
      </c>
      <c r="AG491" s="324" t="n">
        <v>195</v>
      </c>
      <c r="AU491" t="n">
        <v>293</v>
      </c>
      <c r="AV491" t="inlineStr">
        <is>
          <t>MUHORONI BRANCH</t>
        </is>
      </c>
      <c r="AW491" t="n">
        <v>12</v>
      </c>
      <c r="AX491" s="4" t="n"/>
    </row>
    <row r="492">
      <c r="A492" t="inlineStr">
        <is>
          <t>Nhif</t>
        </is>
      </c>
      <c r="B492" t="inlineStr">
        <is>
          <t>NHIF</t>
        </is>
      </c>
      <c r="M492" s="3" t="n">
        <v>30112</v>
      </c>
      <c r="N492" t="inlineStr">
        <is>
          <t>LANGAS</t>
        </is>
      </c>
      <c r="R492" s="3" t="inlineStr">
        <is>
          <t>40110</t>
        </is>
      </c>
      <c r="AE492" s="324" t="n">
        <v>343</v>
      </c>
      <c r="AF492" s="324" t="inlineStr">
        <is>
          <t>Mayanja</t>
        </is>
      </c>
      <c r="AG492" s="324" t="n">
        <v>195</v>
      </c>
      <c r="AU492" t="n">
        <v>310</v>
      </c>
      <c r="AV492" t="inlineStr">
        <is>
          <t>NAKURU BRANCH</t>
        </is>
      </c>
      <c r="AW492" t="n">
        <v>12</v>
      </c>
      <c r="AX492" s="4" t="n"/>
    </row>
    <row r="493">
      <c r="M493" s="3" t="inlineStr">
        <is>
          <t>00509</t>
        </is>
      </c>
      <c r="N493" t="inlineStr">
        <is>
          <t>LANGATA</t>
        </is>
      </c>
      <c r="R493" s="3" t="inlineStr">
        <is>
          <t>40111</t>
        </is>
      </c>
      <c r="AE493" s="324" t="n">
        <v>347</v>
      </c>
      <c r="AF493" s="324" t="inlineStr">
        <is>
          <t>Mechimeru</t>
        </is>
      </c>
      <c r="AG493" s="324" t="n">
        <v>195</v>
      </c>
      <c r="AU493" t="n">
        <v>296</v>
      </c>
      <c r="AV493" t="inlineStr">
        <is>
          <t>NAROK BRANCH</t>
        </is>
      </c>
      <c r="AW493" t="n">
        <v>12</v>
      </c>
      <c r="AX493" s="4" t="n"/>
    </row>
    <row r="494">
      <c r="M494" s="3" t="inlineStr">
        <is>
          <t>00603</t>
        </is>
      </c>
      <c r="N494" t="inlineStr">
        <is>
          <t>LAVINGTON</t>
        </is>
      </c>
      <c r="R494" s="3" t="inlineStr">
        <is>
          <t>40112</t>
        </is>
      </c>
      <c r="AE494" s="324" t="n">
        <v>380</v>
      </c>
      <c r="AF494" s="324" t="inlineStr">
        <is>
          <t>Musikoma</t>
        </is>
      </c>
      <c r="AG494" s="324" t="n">
        <v>195</v>
      </c>
      <c r="AU494" t="n">
        <v>306</v>
      </c>
      <c r="AV494" t="inlineStr">
        <is>
          <t>NKRUMAH ROAD BRANCH</t>
        </is>
      </c>
      <c r="AW494" t="n">
        <v>12</v>
      </c>
      <c r="AX494" s="4" t="n"/>
    </row>
    <row r="495">
      <c r="M495" s="3" t="n">
        <v>40134</v>
      </c>
      <c r="N495" t="inlineStr">
        <is>
          <t>LELA</t>
        </is>
      </c>
      <c r="R495" s="3" t="inlineStr">
        <is>
          <t>40113</t>
        </is>
      </c>
      <c r="AE495" s="324" t="n">
        <v>384</v>
      </c>
      <c r="AF495" s="324" t="inlineStr">
        <is>
          <t>Mutomolo</t>
        </is>
      </c>
      <c r="AG495" s="324" t="n">
        <v>195</v>
      </c>
      <c r="AU495" t="n">
        <v>301</v>
      </c>
      <c r="AV495" t="inlineStr">
        <is>
          <t>NYAMIRA BRANCH</t>
        </is>
      </c>
      <c r="AW495" t="n">
        <v>12</v>
      </c>
      <c r="AX495" s="4" t="n"/>
    </row>
    <row r="496">
      <c r="M496" s="3" t="n">
        <v>20506</v>
      </c>
      <c r="N496" t="inlineStr">
        <is>
          <t>LENGITA</t>
        </is>
      </c>
      <c r="R496" s="3" t="inlineStr">
        <is>
          <t>40114</t>
        </is>
      </c>
      <c r="AE496" s="324" t="n">
        <v>390</v>
      </c>
      <c r="AF496" s="324" t="inlineStr">
        <is>
          <t>Mwibale</t>
        </is>
      </c>
      <c r="AG496" s="324" t="n">
        <v>195</v>
      </c>
      <c r="AU496" t="n">
        <v>298</v>
      </c>
      <c r="AV496" t="inlineStr">
        <is>
          <t>NYERI BRANCH</t>
        </is>
      </c>
      <c r="AW496" t="n">
        <v>12</v>
      </c>
      <c r="AX496" s="4" t="n"/>
    </row>
    <row r="497">
      <c r="M497" s="3" t="n">
        <v>30115</v>
      </c>
      <c r="N497" t="inlineStr">
        <is>
          <t>LESERU</t>
        </is>
      </c>
      <c r="R497" s="3" t="inlineStr">
        <is>
          <t>40115</t>
        </is>
      </c>
      <c r="AE497" s="324" t="n">
        <v>403</v>
      </c>
      <c r="AF497" s="324" t="inlineStr">
        <is>
          <t>Nandolia</t>
        </is>
      </c>
      <c r="AG497" s="324" t="n">
        <v>195</v>
      </c>
      <c r="AU497" t="n">
        <v>309</v>
      </c>
      <c r="AV497" t="inlineStr">
        <is>
          <t>RUIRU</t>
        </is>
      </c>
      <c r="AW497" t="n">
        <v>12</v>
      </c>
      <c r="AX497" s="4" t="n"/>
    </row>
    <row r="498">
      <c r="M498" s="3" t="n">
        <v>20310</v>
      </c>
      <c r="N498" t="inlineStr">
        <is>
          <t>LESHAU</t>
        </is>
      </c>
      <c r="R498" s="3" t="inlineStr">
        <is>
          <t>40116</t>
        </is>
      </c>
      <c r="AE498" s="324" t="n">
        <v>433</v>
      </c>
      <c r="AF498" s="324" t="inlineStr">
        <is>
          <t>Nzoia</t>
        </is>
      </c>
      <c r="AG498" s="324" t="n">
        <v>195</v>
      </c>
      <c r="AU498" t="n">
        <v>376</v>
      </c>
      <c r="AV498" t="inlineStr">
        <is>
          <t>HARAMBEE AVENUE</t>
        </is>
      </c>
      <c r="AW498" t="n">
        <v>41</v>
      </c>
      <c r="AX498" s="4" t="n"/>
    </row>
    <row r="499">
      <c r="M499" s="3" t="n">
        <v>30302</v>
      </c>
      <c r="N499" t="inlineStr">
        <is>
          <t>LESSOS</t>
        </is>
      </c>
      <c r="R499" s="3" t="inlineStr">
        <is>
          <t>40117</t>
        </is>
      </c>
      <c r="AE499" s="324" t="n">
        <v>434</v>
      </c>
      <c r="AF499" s="324" t="inlineStr">
        <is>
          <t>Nzoia</t>
        </is>
      </c>
      <c r="AG499" s="324" t="n">
        <v>195</v>
      </c>
      <c r="AU499" t="n">
        <v>371</v>
      </c>
      <c r="AV499" t="inlineStr">
        <is>
          <t>HARBOUR BRANCH</t>
        </is>
      </c>
      <c r="AW499" t="n">
        <v>41</v>
      </c>
      <c r="AX499" s="4" t="n"/>
    </row>
    <row r="500">
      <c r="M500" s="3" t="n">
        <v>80110</v>
      </c>
      <c r="N500" t="inlineStr">
        <is>
          <t>LIKONI</t>
        </is>
      </c>
      <c r="R500" s="3" t="inlineStr">
        <is>
          <t>40118</t>
        </is>
      </c>
      <c r="AE500" s="324" t="n">
        <v>454</v>
      </c>
      <c r="AF500" s="324" t="inlineStr">
        <is>
          <t>Sangalo</t>
        </is>
      </c>
      <c r="AG500" s="324" t="n">
        <v>195</v>
      </c>
      <c r="AU500" t="n">
        <v>370</v>
      </c>
      <c r="AV500" t="inlineStr">
        <is>
          <t>HEAD OFFICE</t>
        </is>
      </c>
      <c r="AW500" t="n">
        <v>41</v>
      </c>
      <c r="AX500" s="4" t="n"/>
    </row>
    <row r="501">
      <c r="M501" s="3" t="inlineStr">
        <is>
          <t>00217</t>
        </is>
      </c>
      <c r="N501" t="inlineStr">
        <is>
          <t>LIMURU</t>
        </is>
      </c>
      <c r="R501" s="3" t="inlineStr">
        <is>
          <t>40119</t>
        </is>
      </c>
      <c r="AE501" s="324" t="n">
        <v>465</v>
      </c>
      <c r="AF501" s="324" t="inlineStr">
        <is>
          <t>Sigalame</t>
        </is>
      </c>
      <c r="AG501" s="324" t="n">
        <v>195</v>
      </c>
      <c r="AU501" t="n">
        <v>373</v>
      </c>
      <c r="AV501" t="inlineStr">
        <is>
          <t>NAKURU</t>
        </is>
      </c>
      <c r="AW501" t="n">
        <v>41</v>
      </c>
      <c r="AX501" s="4" t="n"/>
    </row>
    <row r="502">
      <c r="M502" s="3" t="n">
        <v>90109</v>
      </c>
      <c r="N502" t="inlineStr">
        <is>
          <t>LITA</t>
        </is>
      </c>
      <c r="R502" s="3" t="inlineStr">
        <is>
          <t>40120</t>
        </is>
      </c>
      <c r="AE502" s="324" t="n">
        <v>472</v>
      </c>
      <c r="AF502" s="324" t="inlineStr">
        <is>
          <t>Sipala</t>
        </is>
      </c>
      <c r="AG502" s="324" t="n">
        <v>195</v>
      </c>
      <c r="AU502" t="n">
        <v>367</v>
      </c>
      <c r="AV502" t="inlineStr">
        <is>
          <t>NIC MASABA ROAD</t>
        </is>
      </c>
      <c r="AW502" t="n">
        <v>41</v>
      </c>
      <c r="AX502" s="4" t="n"/>
    </row>
    <row r="503">
      <c r="M503" s="3" t="n">
        <v>20210</v>
      </c>
      <c r="N503" t="inlineStr">
        <is>
          <t>LITEIN</t>
        </is>
      </c>
      <c r="R503" s="3" t="inlineStr">
        <is>
          <t>40121</t>
        </is>
      </c>
      <c r="AE503" s="324" t="n">
        <v>473</v>
      </c>
      <c r="AF503" s="324" t="inlineStr">
        <is>
          <t>Sipala</t>
        </is>
      </c>
      <c r="AG503" s="324" t="n">
        <v>195</v>
      </c>
      <c r="AU503" t="n">
        <v>375</v>
      </c>
      <c r="AV503" t="inlineStr">
        <is>
          <t>NKRUMAH ROAD</t>
        </is>
      </c>
      <c r="AW503" t="n">
        <v>41</v>
      </c>
      <c r="AX503" s="4" t="n"/>
    </row>
    <row r="504">
      <c r="M504" s="3" t="n">
        <v>30500</v>
      </c>
      <c r="N504" t="inlineStr">
        <is>
          <t>LODWAR</t>
        </is>
      </c>
      <c r="R504" s="3" t="inlineStr">
        <is>
          <t>40122</t>
        </is>
      </c>
      <c r="AE504" s="324" t="n">
        <v>477</v>
      </c>
      <c r="AF504" s="324" t="inlineStr">
        <is>
          <t>Siritanyi</t>
        </is>
      </c>
      <c r="AG504" s="324" t="n">
        <v>195</v>
      </c>
      <c r="AU504" t="n">
        <v>374</v>
      </c>
      <c r="AV504" t="inlineStr">
        <is>
          <t>NYALI</t>
        </is>
      </c>
      <c r="AW504" t="n">
        <v>41</v>
      </c>
      <c r="AX504" s="4" t="n"/>
    </row>
    <row r="505">
      <c r="M505" s="3" t="inlineStr">
        <is>
          <t>00209</t>
        </is>
      </c>
      <c r="N505" t="inlineStr">
        <is>
          <t>LOITOKITOK</t>
        </is>
      </c>
      <c r="R505" s="3" t="inlineStr">
        <is>
          <t>40124</t>
        </is>
      </c>
      <c r="AE505" s="324" t="n">
        <v>484</v>
      </c>
      <c r="AF505" s="324" t="inlineStr">
        <is>
          <t>Sudi</t>
        </is>
      </c>
      <c r="AG505" s="324" t="n">
        <v>195</v>
      </c>
      <c r="AU505" t="n">
        <v>377</v>
      </c>
      <c r="AV505" t="inlineStr">
        <is>
          <t>PRESTIGE</t>
        </is>
      </c>
      <c r="AW505" t="n">
        <v>41</v>
      </c>
      <c r="AX505" s="4" t="n"/>
    </row>
    <row r="506">
      <c r="M506" s="3" t="n">
        <v>60501</v>
      </c>
      <c r="N506" t="inlineStr">
        <is>
          <t>LOIYANGALANI</t>
        </is>
      </c>
      <c r="R506" s="3" t="inlineStr">
        <is>
          <t>40125</t>
        </is>
      </c>
      <c r="AE506" s="324" t="n">
        <v>289</v>
      </c>
      <c r="AF506" s="324" t="inlineStr">
        <is>
          <t>Lwakhakha</t>
        </is>
      </c>
      <c r="AG506" s="324" t="n">
        <v>196</v>
      </c>
      <c r="AU506" t="n">
        <v>368</v>
      </c>
      <c r="AV506" t="inlineStr">
        <is>
          <t>THE JUNCTION</t>
        </is>
      </c>
      <c r="AW506" t="n">
        <v>41</v>
      </c>
      <c r="AX506" s="4" t="n"/>
    </row>
    <row r="507">
      <c r="M507" s="3" t="n">
        <v>30505</v>
      </c>
      <c r="N507" t="inlineStr">
        <is>
          <t>LOKICHAR</t>
        </is>
      </c>
      <c r="R507" s="3" t="inlineStr">
        <is>
          <t>40126</t>
        </is>
      </c>
      <c r="AE507" s="324" t="n">
        <v>308</v>
      </c>
      <c r="AF507" s="324" t="inlineStr">
        <is>
          <t>Malakisi</t>
        </is>
      </c>
      <c r="AG507" s="324" t="n">
        <v>196</v>
      </c>
      <c r="AU507" t="n">
        <v>372</v>
      </c>
      <c r="AV507" t="inlineStr">
        <is>
          <t>THE MALL WESTLANDS</t>
        </is>
      </c>
      <c r="AW507" t="n">
        <v>41</v>
      </c>
      <c r="AX507" s="4" t="n"/>
    </row>
    <row r="508">
      <c r="M508" s="3" t="n">
        <v>30503</v>
      </c>
      <c r="N508" t="inlineStr">
        <is>
          <t>LOKICHOGGIO</t>
        </is>
      </c>
      <c r="R508" s="3" t="inlineStr">
        <is>
          <t>40127</t>
        </is>
      </c>
      <c r="AE508" s="324" t="n">
        <v>353</v>
      </c>
      <c r="AF508" s="324" t="inlineStr">
        <is>
          <t>Miluki</t>
        </is>
      </c>
      <c r="AG508" s="324" t="n">
        <v>196</v>
      </c>
      <c r="AU508" t="n">
        <v>317</v>
      </c>
      <c r="AV508" t="inlineStr">
        <is>
          <t>ELDORET BRANCH</t>
        </is>
      </c>
      <c r="AW508" t="n">
        <v>14</v>
      </c>
      <c r="AX508" s="4" t="n"/>
    </row>
    <row r="509">
      <c r="M509" s="3" t="n">
        <v>30504</v>
      </c>
      <c r="N509" t="inlineStr">
        <is>
          <t>LOKITAUNG</t>
        </is>
      </c>
      <c r="R509" s="3" t="inlineStr">
        <is>
          <t>40128</t>
        </is>
      </c>
      <c r="AE509" s="324" t="n">
        <v>455</v>
      </c>
      <c r="AF509" s="324" t="inlineStr">
        <is>
          <t>Sango</t>
        </is>
      </c>
      <c r="AG509" s="324" t="n">
        <v>196</v>
      </c>
      <c r="AU509" t="n">
        <v>318</v>
      </c>
      <c r="AV509" t="inlineStr">
        <is>
          <t>KITALE</t>
        </is>
      </c>
      <c r="AW509" t="n">
        <v>14</v>
      </c>
      <c r="AX509" s="4" t="n"/>
    </row>
    <row r="510">
      <c r="M510" s="3" t="n">
        <v>30506</v>
      </c>
      <c r="N510" t="inlineStr">
        <is>
          <t>LOKORI</t>
        </is>
      </c>
      <c r="R510" s="3" t="inlineStr">
        <is>
          <t>40129</t>
        </is>
      </c>
      <c r="AE510" s="324" t="n">
        <v>476</v>
      </c>
      <c r="AF510" s="324" t="inlineStr">
        <is>
          <t>Sirisia</t>
        </is>
      </c>
      <c r="AG510" s="324" t="n">
        <v>196</v>
      </c>
      <c r="AU510" t="n">
        <v>315</v>
      </c>
      <c r="AV510" t="inlineStr">
        <is>
          <t>NAIROBI BRANCH</t>
        </is>
      </c>
      <c r="AW510" t="n">
        <v>14</v>
      </c>
      <c r="AX510" s="4" t="n"/>
    </row>
    <row r="511">
      <c r="M511" s="3" t="n">
        <v>40701</v>
      </c>
      <c r="N511" t="inlineStr">
        <is>
          <t>LOLGORIAN</t>
        </is>
      </c>
      <c r="R511" s="3" t="inlineStr">
        <is>
          <t>40130</t>
        </is>
      </c>
      <c r="AE511" s="324" t="n">
        <v>499</v>
      </c>
      <c r="AF511" s="324" t="inlineStr">
        <is>
          <t>Tulienge</t>
        </is>
      </c>
      <c r="AG511" s="324" t="n">
        <v>196</v>
      </c>
      <c r="AU511" t="n">
        <v>316</v>
      </c>
      <c r="AV511" t="inlineStr">
        <is>
          <t>NAKURU BRANCH</t>
        </is>
      </c>
      <c r="AW511" t="n">
        <v>14</v>
      </c>
      <c r="AX511" s="4" t="n"/>
    </row>
    <row r="512">
      <c r="M512" s="3" t="n">
        <v>40128</v>
      </c>
      <c r="N512" t="inlineStr">
        <is>
          <t>LOLWE</t>
        </is>
      </c>
      <c r="R512" s="3" t="inlineStr">
        <is>
          <t>40131</t>
        </is>
      </c>
      <c r="AE512" s="324" t="n">
        <v>173</v>
      </c>
      <c r="AF512" s="324" t="inlineStr">
        <is>
          <t>Kapsokwony</t>
        </is>
      </c>
      <c r="AG512" s="324" t="n">
        <v>197</v>
      </c>
      <c r="AU512" t="n">
        <v>369</v>
      </c>
      <c r="AV512" t="inlineStr">
        <is>
          <t>20TH CENTURY PLAZA BRANCH</t>
        </is>
      </c>
      <c r="AW512" t="n">
        <v>50</v>
      </c>
      <c r="AX512" s="4" t="n"/>
    </row>
    <row r="513">
      <c r="M513" s="3" t="n">
        <v>20203</v>
      </c>
      <c r="N513" t="inlineStr">
        <is>
          <t>LONDIAN</t>
        </is>
      </c>
      <c r="R513" s="3" t="inlineStr">
        <is>
          <t>40132</t>
        </is>
      </c>
      <c r="AE513" s="324" t="n">
        <v>176</v>
      </c>
      <c r="AF513" s="324" t="inlineStr">
        <is>
          <t>Kaptama</t>
        </is>
      </c>
      <c r="AG513" s="324" t="n">
        <v>197</v>
      </c>
      <c r="AU513" t="n">
        <v>385</v>
      </c>
      <c r="AV513" t="inlineStr">
        <is>
          <t>HEAD OFFICE</t>
        </is>
      </c>
      <c r="AW513" t="n">
        <v>50</v>
      </c>
      <c r="AX513" s="4" t="n"/>
    </row>
    <row r="514">
      <c r="M514" s="3" t="n">
        <v>20402</v>
      </c>
      <c r="N514" t="inlineStr">
        <is>
          <t>LONGISA</t>
        </is>
      </c>
      <c r="R514" s="3" t="inlineStr">
        <is>
          <t>40133</t>
        </is>
      </c>
      <c r="AE514" s="324" t="n">
        <v>252</v>
      </c>
      <c r="AF514" s="324" t="inlineStr">
        <is>
          <t>Kopsiro</t>
        </is>
      </c>
      <c r="AG514" s="324" t="n">
        <v>197</v>
      </c>
      <c r="AU514" t="n">
        <v>386</v>
      </c>
      <c r="AV514" t="inlineStr">
        <is>
          <t>WESTLANDS BRANCH</t>
        </is>
      </c>
      <c r="AW514" t="n">
        <v>50</v>
      </c>
      <c r="AX514" s="4" t="n"/>
    </row>
    <row r="515">
      <c r="M515" s="3" t="n">
        <v>20146</v>
      </c>
      <c r="N515" t="inlineStr">
        <is>
          <t>LONGONOT</t>
        </is>
      </c>
      <c r="R515" s="3" t="inlineStr">
        <is>
          <t>40134</t>
        </is>
      </c>
      <c r="AE515" s="324" t="n">
        <v>27</v>
      </c>
      <c r="AF515" s="324" t="inlineStr">
        <is>
          <t>Budalangi</t>
        </is>
      </c>
      <c r="AG515" s="324" t="n">
        <v>198</v>
      </c>
      <c r="AU515" t="n">
        <v>248</v>
      </c>
      <c r="AV515" t="inlineStr">
        <is>
          <t>CAPITAL CENTRE</t>
        </is>
      </c>
      <c r="AW515" t="n">
        <v>10</v>
      </c>
      <c r="AX515" s="4" t="n"/>
    </row>
    <row r="516">
      <c r="M516" s="3" t="n">
        <v>30507</v>
      </c>
      <c r="N516" t="inlineStr">
        <is>
          <t>LORUGUM</t>
        </is>
      </c>
      <c r="R516" s="3" t="inlineStr">
        <is>
          <t>40135</t>
        </is>
      </c>
      <c r="AE516" s="324" t="n">
        <v>295</v>
      </c>
      <c r="AF516" s="324" t="inlineStr">
        <is>
          <t>Magombe</t>
        </is>
      </c>
      <c r="AG516" s="324" t="n">
        <v>198</v>
      </c>
      <c r="AU516" t="n">
        <v>244</v>
      </c>
      <c r="AV516" t="inlineStr">
        <is>
          <t>HEAD OFFICE</t>
        </is>
      </c>
      <c r="AW516" t="n">
        <v>10</v>
      </c>
      <c r="AX516" s="4" t="n"/>
    </row>
    <row r="517">
      <c r="M517" s="3" t="inlineStr">
        <is>
          <t>00604</t>
        </is>
      </c>
      <c r="N517" t="inlineStr">
        <is>
          <t>LOWER KABETE</t>
        </is>
      </c>
      <c r="R517" s="3" t="inlineStr">
        <is>
          <t>40136</t>
        </is>
      </c>
      <c r="AE517" s="324" t="n">
        <v>341</v>
      </c>
      <c r="AF517" s="324" t="inlineStr">
        <is>
          <t>Mau Mau</t>
        </is>
      </c>
      <c r="AG517" s="324" t="n">
        <v>198</v>
      </c>
      <c r="AU517" t="n">
        <v>245</v>
      </c>
      <c r="AV517" t="inlineStr">
        <is>
          <t>LOITA STREET BRANCH</t>
        </is>
      </c>
      <c r="AW517" t="n">
        <v>10</v>
      </c>
      <c r="AX517" s="4" t="n"/>
    </row>
    <row r="518">
      <c r="M518" s="3" t="n">
        <v>50307</v>
      </c>
      <c r="N518" t="inlineStr">
        <is>
          <t>LUANDA</t>
        </is>
      </c>
      <c r="R518" s="3" t="inlineStr">
        <is>
          <t>40137</t>
        </is>
      </c>
      <c r="AE518" s="324" t="n">
        <v>375</v>
      </c>
      <c r="AF518" s="324" t="inlineStr">
        <is>
          <t>Mundere</t>
        </is>
      </c>
      <c r="AG518" s="324" t="n">
        <v>198</v>
      </c>
      <c r="AU518" t="n">
        <v>246</v>
      </c>
      <c r="AV518" t="inlineStr">
        <is>
          <t>MOMBASA BRANCH</t>
        </is>
      </c>
      <c r="AW518" t="n">
        <v>10</v>
      </c>
      <c r="AX518" s="4" t="n"/>
    </row>
    <row r="519">
      <c r="M519" s="3" t="n">
        <v>50219</v>
      </c>
      <c r="N519" t="inlineStr">
        <is>
          <t>LUANDANYI</t>
        </is>
      </c>
      <c r="R519" s="3" t="inlineStr">
        <is>
          <t>40139</t>
        </is>
      </c>
      <c r="AE519" s="324" t="n">
        <v>441</v>
      </c>
      <c r="AF519" s="324" t="inlineStr">
        <is>
          <t>Port Victoria</t>
        </is>
      </c>
      <c r="AG519" s="324" t="n">
        <v>198</v>
      </c>
      <c r="AU519" t="n">
        <v>247</v>
      </c>
      <c r="AV519" t="inlineStr">
        <is>
          <t>WESTLANDS BRANCH</t>
        </is>
      </c>
      <c r="AW519" t="n">
        <v>10</v>
      </c>
      <c r="AX519" s="4" t="n"/>
    </row>
    <row r="520">
      <c r="M520" s="3" t="n">
        <v>50240</v>
      </c>
      <c r="N520" t="inlineStr">
        <is>
          <t>LUANDETI</t>
        </is>
      </c>
      <c r="R520" s="3" t="inlineStr">
        <is>
          <t>40140</t>
        </is>
      </c>
      <c r="AE520" s="324" t="n">
        <v>2</v>
      </c>
      <c r="AF520" s="324" t="inlineStr">
        <is>
          <t>Air Strip</t>
        </is>
      </c>
      <c r="AG520" s="324" t="n">
        <v>199</v>
      </c>
      <c r="AU520" t="n">
        <v>405</v>
      </c>
      <c r="AV520" t="inlineStr">
        <is>
          <t>HEAD OFFICE</t>
        </is>
      </c>
      <c r="AW520" t="n">
        <v>58</v>
      </c>
      <c r="AX520" s="4" t="n"/>
    </row>
    <row r="521">
      <c r="M521" s="3" t="n">
        <v>50118</v>
      </c>
      <c r="N521" t="inlineStr">
        <is>
          <t>LUBAO</t>
        </is>
      </c>
      <c r="R521" s="3" t="inlineStr">
        <is>
          <t>40141</t>
        </is>
      </c>
      <c r="AE521" s="324" t="n">
        <v>56</v>
      </c>
      <c r="AF521" s="324" t="inlineStr">
        <is>
          <t>Customs</t>
        </is>
      </c>
      <c r="AG521" s="324" t="n">
        <v>199</v>
      </c>
      <c r="AU521" t="n">
        <v>406</v>
      </c>
      <c r="AV521" t="inlineStr">
        <is>
          <t>MOMBASA BRANCH</t>
        </is>
      </c>
      <c r="AW521" t="n">
        <v>58</v>
      </c>
      <c r="AX521" s="4" t="n"/>
    </row>
    <row r="522">
      <c r="M522" s="3" t="n">
        <v>50108</v>
      </c>
      <c r="N522" t="inlineStr">
        <is>
          <t>LUGARI</t>
        </is>
      </c>
      <c r="R522" s="3" t="inlineStr">
        <is>
          <t>40142</t>
        </is>
      </c>
      <c r="AE522" s="324" t="n">
        <v>184</v>
      </c>
      <c r="AF522" s="324" t="inlineStr">
        <is>
          <t>Kasarani</t>
        </is>
      </c>
      <c r="AG522" s="324" t="n">
        <v>199</v>
      </c>
      <c r="AU522" t="n">
        <v>407</v>
      </c>
      <c r="AV522" t="inlineStr">
        <is>
          <t>NAIROBI BRANCH</t>
        </is>
      </c>
      <c r="AW522" t="n">
        <v>58</v>
      </c>
      <c r="AX522" s="4" t="n"/>
    </row>
    <row r="523">
      <c r="M523" s="3" t="n">
        <v>40622</v>
      </c>
      <c r="N523" t="inlineStr">
        <is>
          <t>LUGINGO</t>
        </is>
      </c>
      <c r="R523" s="3" t="inlineStr">
        <is>
          <t>40143</t>
        </is>
      </c>
      <c r="AE523" s="324" t="n">
        <v>254</v>
      </c>
      <c r="AF523" s="324" t="inlineStr">
        <is>
          <t>Korinda</t>
        </is>
      </c>
      <c r="AG523" s="324" t="n">
        <v>199</v>
      </c>
      <c r="AU523" t="n">
        <v>408</v>
      </c>
      <c r="AV523" t="inlineStr">
        <is>
          <t>WESTLANDS BRANCH</t>
        </is>
      </c>
      <c r="AW523" t="n">
        <v>58</v>
      </c>
      <c r="AX523" s="4" t="n"/>
    </row>
    <row r="524">
      <c r="M524" s="3" t="n">
        <v>50218</v>
      </c>
      <c r="N524" t="inlineStr">
        <is>
          <t>LUGULU</t>
        </is>
      </c>
      <c r="R524" s="3" t="inlineStr">
        <is>
          <t>40144</t>
        </is>
      </c>
      <c r="AE524" s="324" t="n">
        <v>479</v>
      </c>
      <c r="AF524" s="324" t="inlineStr">
        <is>
          <t>Sofia</t>
        </is>
      </c>
      <c r="AG524" s="324" t="n">
        <v>199</v>
      </c>
      <c r="AU524" t="n">
        <v>348</v>
      </c>
      <c r="AV524" t="inlineStr">
        <is>
          <t>HEAD OFFICE</t>
        </is>
      </c>
      <c r="AW524" t="n">
        <v>31</v>
      </c>
      <c r="AX524" s="4" t="n"/>
    </row>
    <row r="525">
      <c r="M525" s="3" t="n">
        <v>40623</v>
      </c>
      <c r="N525" t="inlineStr">
        <is>
          <t>LUHANO</t>
        </is>
      </c>
      <c r="R525" s="3" t="inlineStr">
        <is>
          <t>40200</t>
        </is>
      </c>
      <c r="AE525" s="324" t="n">
        <v>29</v>
      </c>
      <c r="AF525" s="324" t="inlineStr">
        <is>
          <t>Bukiri</t>
        </is>
      </c>
      <c r="AG525" s="324" t="n">
        <v>200</v>
      </c>
      <c r="AU525" t="n">
        <v>349</v>
      </c>
      <c r="AV525" t="inlineStr">
        <is>
          <t>NKRUMAH ROAD BRANCH</t>
        </is>
      </c>
      <c r="AW525" t="n">
        <v>31</v>
      </c>
      <c r="AX525" s="4" t="n"/>
    </row>
    <row r="526">
      <c r="M526" s="3" t="n">
        <v>50421</v>
      </c>
      <c r="N526" t="inlineStr">
        <is>
          <t>LUKOLIS</t>
        </is>
      </c>
      <c r="R526" s="3" t="inlineStr">
        <is>
          <t>40201</t>
        </is>
      </c>
      <c r="AE526" s="324" t="n">
        <v>34</v>
      </c>
      <c r="AF526" s="324" t="inlineStr">
        <is>
          <t>Bumbe</t>
        </is>
      </c>
      <c r="AG526" s="324" t="n">
        <v>200</v>
      </c>
      <c r="AU526" t="n">
        <v>127</v>
      </c>
      <c r="AV526" t="inlineStr">
        <is>
          <t>ATHI RIVER BRANCH</t>
        </is>
      </c>
      <c r="AW526" t="n">
        <v>2</v>
      </c>
      <c r="AX526" s="4" t="n"/>
    </row>
    <row r="527">
      <c r="M527" s="3" t="n">
        <v>80408</v>
      </c>
      <c r="N527" t="inlineStr">
        <is>
          <t>LUKORE</t>
        </is>
      </c>
      <c r="R527" s="3" t="inlineStr">
        <is>
          <t>40202</t>
        </is>
      </c>
      <c r="AE527" s="324" t="n">
        <v>86</v>
      </c>
      <c r="AF527" s="324" t="inlineStr">
        <is>
          <t>Funyula</t>
        </is>
      </c>
      <c r="AG527" s="324" t="n">
        <v>200</v>
      </c>
      <c r="AU527" t="n">
        <v>136</v>
      </c>
      <c r="AV527" t="inlineStr">
        <is>
          <t>EASTLEIGH</t>
        </is>
      </c>
      <c r="AW527" t="n">
        <v>2</v>
      </c>
      <c r="AX527" s="4" t="n"/>
    </row>
    <row r="528">
      <c r="M528" s="3" t="n">
        <v>50132</v>
      </c>
      <c r="N528" t="inlineStr">
        <is>
          <t>LUKUME</t>
        </is>
      </c>
      <c r="R528" s="3" t="inlineStr">
        <is>
          <t>40203</t>
        </is>
      </c>
      <c r="AE528" s="324" t="n">
        <v>95</v>
      </c>
      <c r="AF528" s="324" t="inlineStr">
        <is>
          <t>Ganga</t>
        </is>
      </c>
      <c r="AG528" s="324" t="n">
        <v>200</v>
      </c>
      <c r="AU528" t="n">
        <v>101</v>
      </c>
      <c r="AV528" t="inlineStr">
        <is>
          <t>ELDORET BRANCH</t>
        </is>
      </c>
      <c r="AW528" t="n">
        <v>2</v>
      </c>
      <c r="AX528" s="4" t="n"/>
    </row>
    <row r="529">
      <c r="M529" s="3" t="n">
        <v>50230</v>
      </c>
      <c r="N529" t="inlineStr">
        <is>
          <t>LUKUSI</t>
        </is>
      </c>
      <c r="R529" s="3" t="inlineStr">
        <is>
          <t>40204</t>
        </is>
      </c>
      <c r="AE529" s="324" t="n">
        <v>120</v>
      </c>
      <c r="AF529" s="324" t="inlineStr">
        <is>
          <t>Hakati</t>
        </is>
      </c>
      <c r="AG529" s="324" t="n">
        <v>200</v>
      </c>
      <c r="AU529" t="n">
        <v>122</v>
      </c>
      <c r="AV529" t="inlineStr">
        <is>
          <t>GATUNDU BRANCH</t>
        </is>
      </c>
      <c r="AW529" t="n">
        <v>2</v>
      </c>
      <c r="AX529" s="4" t="n"/>
    </row>
    <row r="530">
      <c r="M530" s="3" t="n">
        <v>50242</v>
      </c>
      <c r="N530" t="inlineStr">
        <is>
          <t>LUMAKANDA</t>
        </is>
      </c>
      <c r="R530" s="3" t="inlineStr">
        <is>
          <t>40205</t>
        </is>
      </c>
      <c r="AE530" s="324" t="n">
        <v>291</v>
      </c>
      <c r="AF530" s="324" t="inlineStr">
        <is>
          <t>Lwaunda</t>
        </is>
      </c>
      <c r="AG530" s="324" t="n">
        <v>200</v>
      </c>
      <c r="AU530" t="n">
        <v>124</v>
      </c>
      <c r="AV530" t="inlineStr">
        <is>
          <t>HAILE SELASSIE AVENUE BRANCH</t>
        </is>
      </c>
      <c r="AW530" t="n">
        <v>2</v>
      </c>
      <c r="AX530" s="4" t="n"/>
    </row>
    <row r="531">
      <c r="M531" s="3" t="n">
        <v>80402</v>
      </c>
      <c r="N531" t="inlineStr">
        <is>
          <t>LUNGALUNGA</t>
        </is>
      </c>
      <c r="R531" s="3" t="inlineStr">
        <is>
          <t>40206</t>
        </is>
      </c>
      <c r="AE531" s="324" t="n">
        <v>471</v>
      </c>
      <c r="AF531" s="324" t="inlineStr">
        <is>
          <t>Sio Port</t>
        </is>
      </c>
      <c r="AG531" s="324" t="n">
        <v>200</v>
      </c>
      <c r="AU531" t="n">
        <v>117</v>
      </c>
      <c r="AV531" t="inlineStr">
        <is>
          <t>HARAMBEE AVENUE BRANCH</t>
        </is>
      </c>
      <c r="AW531" t="n">
        <v>2</v>
      </c>
      <c r="AX531" s="4" t="n"/>
    </row>
    <row r="532">
      <c r="M532" s="3" t="n">
        <v>50119</v>
      </c>
      <c r="N532" t="inlineStr">
        <is>
          <t>LUNZA</t>
        </is>
      </c>
      <c r="R532" s="3" t="inlineStr">
        <is>
          <t>40207</t>
        </is>
      </c>
      <c r="AE532" s="324" t="n">
        <v>7</v>
      </c>
      <c r="AF532" s="324" t="inlineStr">
        <is>
          <t>Amoding</t>
        </is>
      </c>
      <c r="AG532" s="324" t="n">
        <v>201</v>
      </c>
      <c r="AU532" t="n">
        <v>134</v>
      </c>
      <c r="AV532" t="inlineStr">
        <is>
          <t>HEAD OFFICE</t>
        </is>
      </c>
      <c r="AW532" t="n">
        <v>2</v>
      </c>
      <c r="AX532" s="4" t="n"/>
    </row>
    <row r="533">
      <c r="M533" s="3" t="n">
        <v>50120</v>
      </c>
      <c r="N533" t="inlineStr">
        <is>
          <t>LURAMBI</t>
        </is>
      </c>
      <c r="R533" s="3" t="inlineStr">
        <is>
          <t>40208</t>
        </is>
      </c>
      <c r="AE533" s="324" t="n">
        <v>8</v>
      </c>
      <c r="AF533" s="324" t="inlineStr">
        <is>
          <t>Amogoro</t>
        </is>
      </c>
      <c r="AG533" s="324" t="n">
        <v>201</v>
      </c>
      <c r="AU533" t="n">
        <v>119</v>
      </c>
      <c r="AV533" t="inlineStr">
        <is>
          <t>INDUSTRIAL AREA BRANCH</t>
        </is>
      </c>
      <c r="AW533" t="n">
        <v>2</v>
      </c>
      <c r="AX533" s="4" t="n"/>
    </row>
    <row r="534">
      <c r="M534" s="3" t="inlineStr">
        <is>
          <t>00905</t>
        </is>
      </c>
      <c r="N534" t="inlineStr">
        <is>
          <t>LUSINGETI</t>
        </is>
      </c>
      <c r="R534" s="3" t="inlineStr">
        <is>
          <t>40209</t>
        </is>
      </c>
      <c r="AE534" s="324" t="n">
        <v>248</v>
      </c>
      <c r="AF534" s="324" t="inlineStr">
        <is>
          <t>Kocholia</t>
        </is>
      </c>
      <c r="AG534" s="324" t="n">
        <v>201</v>
      </c>
      <c r="AU534" t="n">
        <v>126</v>
      </c>
      <c r="AV534" t="inlineStr">
        <is>
          <t>KABARNET BRANCH</t>
        </is>
      </c>
      <c r="AW534" t="n">
        <v>2</v>
      </c>
      <c r="AX534" s="4" t="n"/>
    </row>
    <row r="535">
      <c r="M535" s="3" t="n">
        <v>50320</v>
      </c>
      <c r="N535" t="inlineStr">
        <is>
          <t>LUSIOLA</t>
        </is>
      </c>
      <c r="R535" s="3" t="inlineStr">
        <is>
          <t>40210</t>
        </is>
      </c>
      <c r="AE535" s="324" t="n">
        <v>249</v>
      </c>
      <c r="AF535" s="324" t="inlineStr">
        <is>
          <t>Kolanya</t>
        </is>
      </c>
      <c r="AG535" s="324" t="n">
        <v>201</v>
      </c>
      <c r="AU535" t="n">
        <v>120</v>
      </c>
      <c r="AV535" t="inlineStr">
        <is>
          <t>KAKAMEGA BRANCH</t>
        </is>
      </c>
      <c r="AW535" t="n">
        <v>2</v>
      </c>
      <c r="AX535" s="4" t="n"/>
    </row>
    <row r="536">
      <c r="M536" s="3" t="n">
        <v>50121</v>
      </c>
      <c r="N536" t="inlineStr">
        <is>
          <t>LUTASO</t>
        </is>
      </c>
      <c r="R536" s="3" t="inlineStr">
        <is>
          <t>40211</t>
        </is>
      </c>
      <c r="AE536" s="324" t="n">
        <v>5</v>
      </c>
      <c r="AF536" s="324" t="inlineStr">
        <is>
          <t>Alupe</t>
        </is>
      </c>
      <c r="AG536" s="324" t="n">
        <v>202</v>
      </c>
      <c r="AU536" t="n">
        <v>132</v>
      </c>
      <c r="AV536" t="inlineStr">
        <is>
          <t>KAREN BRANCH</t>
        </is>
      </c>
      <c r="AW536" t="n">
        <v>2</v>
      </c>
      <c r="AX536" s="4" t="n"/>
    </row>
    <row r="537">
      <c r="M537" s="3" t="n">
        <v>20147</v>
      </c>
      <c r="N537" t="inlineStr">
        <is>
          <t>MAAI MAHIU</t>
        </is>
      </c>
      <c r="R537" s="3" t="inlineStr">
        <is>
          <t>40212</t>
        </is>
      </c>
      <c r="AE537" s="324" t="n">
        <v>9</v>
      </c>
      <c r="AF537" s="324" t="inlineStr">
        <is>
          <t>Amukura</t>
        </is>
      </c>
      <c r="AG537" s="324" t="n">
        <v>202</v>
      </c>
      <c r="AU537" t="n">
        <v>107</v>
      </c>
      <c r="AV537" t="inlineStr">
        <is>
          <t>KENYATTA AVENUE BRANCH</t>
        </is>
      </c>
      <c r="AW537" t="n">
        <v>2</v>
      </c>
      <c r="AX537" s="4" t="n"/>
    </row>
    <row r="538">
      <c r="M538" s="3" t="n">
        <v>50235</v>
      </c>
      <c r="N538" t="inlineStr">
        <is>
          <t>MABUSI</t>
        </is>
      </c>
      <c r="R538" s="3" t="inlineStr">
        <is>
          <t>40213</t>
        </is>
      </c>
      <c r="AE538" s="324" t="n">
        <v>43</v>
      </c>
      <c r="AF538" s="324" t="inlineStr">
        <is>
          <t>Chakol</t>
        </is>
      </c>
      <c r="AG538" s="324" t="n">
        <v>202</v>
      </c>
      <c r="AU538" t="n">
        <v>102</v>
      </c>
      <c r="AV538" t="inlineStr">
        <is>
          <t>KERICHO BRANCH</t>
        </is>
      </c>
      <c r="AW538" t="n">
        <v>2</v>
      </c>
      <c r="AX538" s="4" t="n"/>
    </row>
    <row r="539">
      <c r="M539" s="3" t="n">
        <v>90100</v>
      </c>
      <c r="N539" t="inlineStr">
        <is>
          <t>MACHAKOS</t>
        </is>
      </c>
      <c r="R539" s="3" t="inlineStr">
        <is>
          <t>40214</t>
        </is>
      </c>
      <c r="AE539" s="324" t="n">
        <v>125</v>
      </c>
      <c r="AF539" s="324" t="inlineStr">
        <is>
          <t>Igara</t>
        </is>
      </c>
      <c r="AG539" s="324" t="n">
        <v>202</v>
      </c>
      <c r="AU539" t="n">
        <v>118</v>
      </c>
      <c r="AV539" t="inlineStr">
        <is>
          <t>KIAMBU BRANCH</t>
        </is>
      </c>
      <c r="AW539" t="n">
        <v>2</v>
      </c>
      <c r="AX539" s="4" t="n"/>
    </row>
    <row r="540">
      <c r="M540" s="3" t="n">
        <v>1002</v>
      </c>
      <c r="N540" t="inlineStr">
        <is>
          <t>MADARAKA</t>
        </is>
      </c>
      <c r="R540" s="3" t="inlineStr">
        <is>
          <t>40215</t>
        </is>
      </c>
      <c r="AE540" s="324" t="n">
        <v>70</v>
      </c>
      <c r="AF540" s="324" t="inlineStr">
        <is>
          <t>Ekero</t>
        </is>
      </c>
      <c r="AG540" s="324" t="n">
        <v>203</v>
      </c>
      <c r="AU540" t="n">
        <v>108</v>
      </c>
      <c r="AV540" t="inlineStr">
        <is>
          <t>KIMATHI ST./TUBMAN RD BRANCH</t>
        </is>
      </c>
      <c r="AW540" t="n">
        <v>2</v>
      </c>
      <c r="AX540" s="4" t="n"/>
    </row>
    <row r="541">
      <c r="M541" s="3" t="n">
        <v>40641</v>
      </c>
      <c r="N541" t="inlineStr">
        <is>
          <t>MADEYA</t>
        </is>
      </c>
      <c r="R541" s="3" t="inlineStr">
        <is>
          <t>40217</t>
        </is>
      </c>
      <c r="AE541" s="324" t="n">
        <v>122</v>
      </c>
      <c r="AF541" s="324" t="inlineStr">
        <is>
          <t>Harambe</t>
        </is>
      </c>
      <c r="AG541" s="324" t="n">
        <v>203</v>
      </c>
      <c r="AU541" t="n">
        <v>125</v>
      </c>
      <c r="AV541" t="inlineStr">
        <is>
          <t>KIMATHI STREET SAVINGS BRANCH</t>
        </is>
      </c>
      <c r="AW541" t="n">
        <v>2</v>
      </c>
      <c r="AX541" s="4" t="n"/>
    </row>
    <row r="542">
      <c r="M542" s="3" t="n">
        <v>40613</v>
      </c>
      <c r="N542" t="inlineStr">
        <is>
          <t>MADIANY</t>
        </is>
      </c>
      <c r="R542" s="3" t="inlineStr">
        <is>
          <t>40218</t>
        </is>
      </c>
      <c r="AE542" s="324" t="n">
        <v>281</v>
      </c>
      <c r="AF542" s="324" t="inlineStr">
        <is>
          <t>Lukoye</t>
        </is>
      </c>
      <c r="AG542" s="324" t="n">
        <v>203</v>
      </c>
      <c r="AU542" t="n">
        <v>137</v>
      </c>
      <c r="AV542" t="inlineStr">
        <is>
          <t>KISII</t>
        </is>
      </c>
      <c r="AW542" t="n">
        <v>2</v>
      </c>
      <c r="AX542" s="4" t="n"/>
    </row>
    <row r="543">
      <c r="M543" s="3" t="n">
        <v>80207</v>
      </c>
      <c r="N543" t="inlineStr">
        <is>
          <t>MADINA</t>
        </is>
      </c>
      <c r="R543" s="3" t="inlineStr">
        <is>
          <t>40219</t>
        </is>
      </c>
      <c r="AE543" s="324" t="n">
        <v>301</v>
      </c>
      <c r="AF543" s="324" t="inlineStr">
        <is>
          <t>Makunga</t>
        </is>
      </c>
      <c r="AG543" s="324" t="n">
        <v>203</v>
      </c>
      <c r="AU543" t="n">
        <v>103</v>
      </c>
      <c r="AV543" t="inlineStr">
        <is>
          <t>KISUMU BRANCH</t>
        </is>
      </c>
      <c r="AW543" t="n">
        <v>2</v>
      </c>
      <c r="AX543" s="4" t="n"/>
    </row>
    <row r="544">
      <c r="M544" s="3" t="n">
        <v>50321</v>
      </c>
      <c r="N544" t="inlineStr">
        <is>
          <t>MAGADA</t>
        </is>
      </c>
      <c r="R544" s="3" t="inlineStr">
        <is>
          <t>40220</t>
        </is>
      </c>
      <c r="AE544" s="324" t="n">
        <v>306</v>
      </c>
      <c r="AF544" s="324" t="inlineStr">
        <is>
          <t>Malaha</t>
        </is>
      </c>
      <c r="AG544" s="324" t="n">
        <v>203</v>
      </c>
      <c r="AU544" t="n">
        <v>104</v>
      </c>
      <c r="AV544" t="inlineStr">
        <is>
          <t>KITALE BRANCH</t>
        </is>
      </c>
      <c r="AW544" t="n">
        <v>2</v>
      </c>
      <c r="AX544" s="4" t="n"/>
    </row>
    <row r="545">
      <c r="M545" s="3" t="inlineStr">
        <is>
          <t>00205</t>
        </is>
      </c>
      <c r="N545" t="inlineStr">
        <is>
          <t>MAGADI</t>
        </is>
      </c>
      <c r="R545" s="3" t="inlineStr">
        <is>
          <t>40221</t>
        </is>
      </c>
      <c r="AE545" s="324" t="n">
        <v>340</v>
      </c>
      <c r="AF545" s="324" t="inlineStr">
        <is>
          <t>Matungu</t>
        </is>
      </c>
      <c r="AG545" s="324" t="n">
        <v>203</v>
      </c>
      <c r="AU545" t="n">
        <v>123</v>
      </c>
      <c r="AV545" t="inlineStr">
        <is>
          <t>LAMU BRANCH</t>
        </is>
      </c>
      <c r="AW545" t="n">
        <v>2</v>
      </c>
      <c r="AX545" s="4" t="n"/>
    </row>
    <row r="546">
      <c r="M546" s="3" t="n">
        <v>40624</v>
      </c>
      <c r="N546" t="inlineStr">
        <is>
          <t>MAGETA</t>
        </is>
      </c>
      <c r="R546" s="3" t="inlineStr">
        <is>
          <t>40222</t>
        </is>
      </c>
      <c r="AE546" s="324" t="n">
        <v>344</v>
      </c>
      <c r="AF546" s="324" t="inlineStr">
        <is>
          <t>Mayoni</t>
        </is>
      </c>
      <c r="AG546" s="324" t="n">
        <v>203</v>
      </c>
      <c r="AU546" t="n">
        <v>130</v>
      </c>
      <c r="AV546" t="inlineStr">
        <is>
          <t>LANGATA SHOPPING CENTRE BRANCH</t>
        </is>
      </c>
      <c r="AW546" t="n">
        <v>2</v>
      </c>
      <c r="AX546" s="4" t="n"/>
    </row>
    <row r="547">
      <c r="M547" s="3" t="n">
        <v>50325</v>
      </c>
      <c r="N547" t="inlineStr">
        <is>
          <t>MAGO</t>
        </is>
      </c>
      <c r="R547" s="3" t="inlineStr">
        <is>
          <t>40223</t>
        </is>
      </c>
      <c r="AE547" s="324" t="n">
        <v>372</v>
      </c>
      <c r="AF547" s="324" t="inlineStr">
        <is>
          <t>Mumias Town</t>
        </is>
      </c>
      <c r="AG547" s="324" t="n">
        <v>203</v>
      </c>
      <c r="AU547" t="n">
        <v>115</v>
      </c>
      <c r="AV547" t="inlineStr">
        <is>
          <t>MACHAKOS BRANCH</t>
        </is>
      </c>
      <c r="AW547" t="n">
        <v>2</v>
      </c>
      <c r="AX547" s="4" t="n"/>
    </row>
    <row r="548">
      <c r="M548" s="3" t="n">
        <v>40507</v>
      </c>
      <c r="N548" t="inlineStr">
        <is>
          <t>MAGOMBO</t>
        </is>
      </c>
      <c r="R548" s="3" t="inlineStr">
        <is>
          <t>40224</t>
        </is>
      </c>
      <c r="AE548" s="324" t="n">
        <v>373</v>
      </c>
      <c r="AF548" s="324" t="inlineStr">
        <is>
          <t>Mumoni</t>
        </is>
      </c>
      <c r="AG548" s="324" t="n">
        <v>203</v>
      </c>
      <c r="AU548" t="n">
        <v>131</v>
      </c>
      <c r="AV548" t="inlineStr">
        <is>
          <t>MAKUPA BRANCH</t>
        </is>
      </c>
      <c r="AW548" t="n">
        <v>2</v>
      </c>
      <c r="AX548" s="4" t="n"/>
    </row>
    <row r="549">
      <c r="M549" s="3" t="n">
        <v>60403</v>
      </c>
      <c r="N549" t="inlineStr">
        <is>
          <t>MAGUMONI</t>
        </is>
      </c>
      <c r="R549" s="3" t="inlineStr">
        <is>
          <t>40225</t>
        </is>
      </c>
      <c r="AE549" s="324" t="n">
        <v>459</v>
      </c>
      <c r="AF549" s="324" t="inlineStr">
        <is>
          <t>Shianda</t>
        </is>
      </c>
      <c r="AG549" s="324" t="n">
        <v>203</v>
      </c>
      <c r="AU549" t="n">
        <v>121</v>
      </c>
      <c r="AV549" t="inlineStr">
        <is>
          <t>MALINDI BRANCH</t>
        </is>
      </c>
      <c r="AW549" t="n">
        <v>2</v>
      </c>
      <c r="AX549" s="4" t="n"/>
    </row>
    <row r="550">
      <c r="M550" s="3" t="n">
        <v>40307</v>
      </c>
      <c r="N550" t="inlineStr">
        <is>
          <t>MAGUNGA</t>
        </is>
      </c>
      <c r="R550" s="3" t="inlineStr">
        <is>
          <t>40226</t>
        </is>
      </c>
      <c r="AE550" s="324" t="n">
        <v>460</v>
      </c>
      <c r="AF550" s="324" t="inlineStr">
        <is>
          <t>Shibale</t>
        </is>
      </c>
      <c r="AG550" s="324" t="n">
        <v>203</v>
      </c>
      <c r="AU550" t="n">
        <v>116</v>
      </c>
      <c r="AV550" t="inlineStr">
        <is>
          <t>MERU BRANCH</t>
        </is>
      </c>
      <c r="AW550" t="n">
        <v>2</v>
      </c>
      <c r="AX550" s="4" t="n"/>
    </row>
    <row r="551">
      <c r="M551" s="3" t="n">
        <v>60407</v>
      </c>
      <c r="N551" t="inlineStr">
        <is>
          <t>MAGUTUNI</t>
        </is>
      </c>
      <c r="R551" s="3" t="inlineStr">
        <is>
          <t>40227</t>
        </is>
      </c>
      <c r="AE551" s="324" t="n">
        <v>31</v>
      </c>
      <c r="AF551" s="324" t="inlineStr">
        <is>
          <t>Bulemia</t>
        </is>
      </c>
      <c r="AG551" s="324" t="n">
        <v>204</v>
      </c>
      <c r="AU551" t="n">
        <v>109</v>
      </c>
      <c r="AV551" t="inlineStr">
        <is>
          <t>MOI AVENUE BRANCH</t>
        </is>
      </c>
      <c r="AW551" t="n">
        <v>2</v>
      </c>
      <c r="AX551" s="4" t="n"/>
    </row>
    <row r="552">
      <c r="M552" s="3" t="n">
        <v>40508</v>
      </c>
      <c r="N552" t="inlineStr">
        <is>
          <t>MAGWAGWA</t>
        </is>
      </c>
      <c r="R552" s="3" t="inlineStr">
        <is>
          <t>40228</t>
        </is>
      </c>
      <c r="AE552" s="324" t="n">
        <v>32</v>
      </c>
      <c r="AF552" s="324" t="inlineStr">
        <is>
          <t>Bumala A</t>
        </is>
      </c>
      <c r="AG552" s="324" t="n">
        <v>204</v>
      </c>
      <c r="AU552" t="n">
        <v>106</v>
      </c>
      <c r="AV552" t="inlineStr">
        <is>
          <t>MOI AVENUE BRANCH</t>
        </is>
      </c>
      <c r="AW552" t="n">
        <v>2</v>
      </c>
      <c r="AX552" s="4" t="n"/>
    </row>
    <row r="553">
      <c r="M553" s="3" t="n">
        <v>50322</v>
      </c>
      <c r="N553" t="inlineStr">
        <is>
          <t>MAHANGA</t>
        </is>
      </c>
      <c r="R553" s="3" t="inlineStr">
        <is>
          <t>40300</t>
        </is>
      </c>
      <c r="AE553" s="324" t="n">
        <v>33</v>
      </c>
      <c r="AF553" s="324" t="inlineStr">
        <is>
          <t>Bumala B</t>
        </is>
      </c>
      <c r="AG553" s="324" t="n">
        <v>204</v>
      </c>
      <c r="AU553" t="n">
        <v>133</v>
      </c>
      <c r="AV553" t="inlineStr">
        <is>
          <t>MUTHAIGA BRANCH</t>
        </is>
      </c>
      <c r="AW553" t="n">
        <v>2</v>
      </c>
      <c r="AX553" s="4" t="n"/>
    </row>
    <row r="554">
      <c r="M554" s="3" t="n">
        <v>20148</v>
      </c>
      <c r="N554" t="inlineStr">
        <is>
          <t>MAIELLA</t>
        </is>
      </c>
      <c r="R554" s="3" t="inlineStr">
        <is>
          <t>40301</t>
        </is>
      </c>
      <c r="AE554" s="324" t="n">
        <v>40</v>
      </c>
      <c r="AF554" s="324" t="inlineStr">
        <is>
          <t>Butere Town</t>
        </is>
      </c>
      <c r="AG554" s="324" t="n">
        <v>204</v>
      </c>
      <c r="AU554" t="n">
        <v>110</v>
      </c>
      <c r="AV554" t="inlineStr">
        <is>
          <t>NAKURU BRANCH</t>
        </is>
      </c>
      <c r="AW554" t="n">
        <v>2</v>
      </c>
      <c r="AX554" s="4" t="n"/>
    </row>
    <row r="555">
      <c r="M555" s="3" t="n">
        <v>20314</v>
      </c>
      <c r="N555" t="inlineStr">
        <is>
          <t>MAIRO INYA</t>
        </is>
      </c>
      <c r="R555" s="3" t="inlineStr">
        <is>
          <t>40302</t>
        </is>
      </c>
      <c r="AE555" s="324" t="n">
        <v>77</v>
      </c>
      <c r="AF555" s="324" t="inlineStr">
        <is>
          <t>Elukhari</t>
        </is>
      </c>
      <c r="AG555" s="324" t="n">
        <v>204</v>
      </c>
      <c r="AU555" t="n">
        <v>111</v>
      </c>
      <c r="AV555" t="inlineStr">
        <is>
          <t>NANYUKI BRANCH</t>
        </is>
      </c>
      <c r="AW555" t="n">
        <v>2</v>
      </c>
      <c r="AX555" s="4" t="n"/>
    </row>
    <row r="556">
      <c r="M556" s="3" t="n">
        <v>20145</v>
      </c>
      <c r="N556" t="inlineStr">
        <is>
          <t>MAJI MAZURI</t>
        </is>
      </c>
      <c r="R556" s="3" t="inlineStr">
        <is>
          <t>40303</t>
        </is>
      </c>
      <c r="AE556" s="324" t="n">
        <v>78</v>
      </c>
      <c r="AF556" s="324" t="inlineStr">
        <is>
          <t>Elukongo</t>
        </is>
      </c>
      <c r="AG556" s="324" t="n">
        <v>204</v>
      </c>
      <c r="AU556" t="n">
        <v>112</v>
      </c>
      <c r="AV556" t="inlineStr">
        <is>
          <t>NYERI BRANCH</t>
        </is>
      </c>
      <c r="AW556" t="n">
        <v>2</v>
      </c>
      <c r="AX556" s="4" t="n"/>
    </row>
    <row r="557">
      <c r="M557" s="3" t="n">
        <v>20228</v>
      </c>
      <c r="N557" t="inlineStr">
        <is>
          <t>MAKIMENY</t>
        </is>
      </c>
      <c r="R557" s="3" t="inlineStr">
        <is>
          <t>40304</t>
        </is>
      </c>
      <c r="AE557" s="324" t="n">
        <v>198</v>
      </c>
      <c r="AF557" s="324" t="inlineStr">
        <is>
          <t>Khumusalaba</t>
        </is>
      </c>
      <c r="AG557" s="324" t="n">
        <v>204</v>
      </c>
      <c r="AU557" t="n">
        <v>129</v>
      </c>
      <c r="AV557" t="inlineStr">
        <is>
          <t>RUARAKA BRANCH</t>
        </is>
      </c>
      <c r="AW557" t="n">
        <v>2</v>
      </c>
      <c r="AX557" s="4" t="n"/>
    </row>
    <row r="558">
      <c r="M558" s="3" t="n">
        <v>90138</v>
      </c>
      <c r="N558" t="inlineStr">
        <is>
          <t>MAKINDU</t>
        </is>
      </c>
      <c r="R558" s="3" t="inlineStr">
        <is>
          <t>40305</t>
        </is>
      </c>
      <c r="AE558" s="324" t="n">
        <v>199</v>
      </c>
      <c r="AF558" s="324" t="inlineStr">
        <is>
          <t>Khwisero</t>
        </is>
      </c>
      <c r="AG558" s="324" t="n">
        <v>204</v>
      </c>
      <c r="AU558" t="n">
        <v>113</v>
      </c>
      <c r="AV558" t="inlineStr">
        <is>
          <t>THIKA BRANCH</t>
        </is>
      </c>
      <c r="AW558" t="n">
        <v>2</v>
      </c>
      <c r="AX558" s="4" t="n"/>
    </row>
    <row r="559">
      <c r="M559" s="3" t="inlineStr">
        <is>
          <t>00510</t>
        </is>
      </c>
      <c r="N559" t="inlineStr">
        <is>
          <t>MAKONGENI</t>
        </is>
      </c>
      <c r="R559" s="3" t="inlineStr">
        <is>
          <t>40306</t>
        </is>
      </c>
      <c r="AE559" s="324" t="n">
        <v>279</v>
      </c>
      <c r="AF559" s="324" t="inlineStr">
        <is>
          <t>Lugulu</t>
        </is>
      </c>
      <c r="AG559" s="324" t="n">
        <v>204</v>
      </c>
      <c r="AU559" t="n">
        <v>105</v>
      </c>
      <c r="AV559" t="inlineStr">
        <is>
          <t>TREASURY SQUARE BRANCH</t>
        </is>
      </c>
      <c r="AW559" t="n">
        <v>2</v>
      </c>
      <c r="AX559" s="4" t="n"/>
    </row>
    <row r="560">
      <c r="M560" s="3" t="n">
        <v>80315</v>
      </c>
      <c r="N560" t="inlineStr">
        <is>
          <t>MAKTAU</t>
        </is>
      </c>
      <c r="R560" s="3" t="inlineStr">
        <is>
          <t>40307</t>
        </is>
      </c>
      <c r="AE560" s="324" t="n">
        <v>321</v>
      </c>
      <c r="AF560" s="324" t="inlineStr">
        <is>
          <t>Manyulia</t>
        </is>
      </c>
      <c r="AG560" s="324" t="n">
        <v>204</v>
      </c>
      <c r="AU560" t="n">
        <v>135</v>
      </c>
      <c r="AV560" t="inlineStr">
        <is>
          <t>UKAY</t>
        </is>
      </c>
      <c r="AW560" t="n">
        <v>2</v>
      </c>
      <c r="AX560" s="4" t="n"/>
    </row>
    <row r="561">
      <c r="M561" s="3" t="n">
        <v>90300</v>
      </c>
      <c r="N561" t="inlineStr">
        <is>
          <t>MAKUENI</t>
        </is>
      </c>
      <c r="R561" s="3" t="inlineStr">
        <is>
          <t>40308</t>
        </is>
      </c>
      <c r="AE561" s="324" t="n">
        <v>371</v>
      </c>
      <c r="AF561" s="324" t="inlineStr">
        <is>
          <t>Mulwanda</t>
        </is>
      </c>
      <c r="AG561" s="324" t="n">
        <v>204</v>
      </c>
      <c r="AU561" t="n">
        <v>114</v>
      </c>
      <c r="AV561" t="inlineStr">
        <is>
          <t>WESTLANDS BRANCH</t>
        </is>
      </c>
      <c r="AW561" t="n">
        <v>2</v>
      </c>
      <c r="AX561" s="4" t="n"/>
    </row>
    <row r="562">
      <c r="M562" s="3" t="n">
        <v>20149</v>
      </c>
      <c r="N562" t="inlineStr">
        <is>
          <t>MAKUMBI</t>
        </is>
      </c>
      <c r="R562" s="3" t="inlineStr">
        <is>
          <t>40309</t>
        </is>
      </c>
      <c r="AE562" s="324" t="n">
        <v>435</v>
      </c>
      <c r="AF562" s="324" t="inlineStr">
        <is>
          <t>Ogalo</t>
        </is>
      </c>
      <c r="AG562" s="324" t="n">
        <v>204</v>
      </c>
      <c r="AU562" t="n">
        <v>128</v>
      </c>
      <c r="AV562" t="inlineStr">
        <is>
          <t>YAYA CENTRE BRANCH</t>
        </is>
      </c>
      <c r="AW562" t="n">
        <v>2</v>
      </c>
      <c r="AX562" s="4" t="n"/>
    </row>
    <row r="563">
      <c r="M563" s="3" t="n">
        <v>50133</v>
      </c>
      <c r="N563" t="inlineStr">
        <is>
          <t>MAKUNGA</t>
        </is>
      </c>
      <c r="R563" s="3" t="inlineStr">
        <is>
          <t>40310</t>
        </is>
      </c>
      <c r="AE563" s="324" t="n">
        <v>451</v>
      </c>
      <c r="AF563" s="324" t="inlineStr">
        <is>
          <t>Sabatia Junction</t>
        </is>
      </c>
      <c r="AG563" s="324" t="n">
        <v>204</v>
      </c>
      <c r="AU563" t="n">
        <v>343</v>
      </c>
      <c r="AV563" t="inlineStr">
        <is>
          <t>ELDORET BRANCH</t>
        </is>
      </c>
      <c r="AW563" t="n">
        <v>26</v>
      </c>
      <c r="AX563" s="4" t="n"/>
    </row>
    <row r="564">
      <c r="M564" s="3" t="n">
        <v>80112</v>
      </c>
      <c r="N564" t="inlineStr">
        <is>
          <t>MAKUPA</t>
        </is>
      </c>
      <c r="R564" s="3" t="inlineStr">
        <is>
          <t>40311</t>
        </is>
      </c>
      <c r="AE564" s="324" t="n">
        <v>495</v>
      </c>
      <c r="AF564" s="324" t="inlineStr">
        <is>
          <t>Tingolo</t>
        </is>
      </c>
      <c r="AG564" s="324" t="n">
        <v>204</v>
      </c>
      <c r="AU564" t="n">
        <v>341</v>
      </c>
      <c r="AV564" t="inlineStr">
        <is>
          <t>HEAD OFFICE</t>
        </is>
      </c>
      <c r="AW564" t="n">
        <v>26</v>
      </c>
      <c r="AX564" s="4" t="n"/>
    </row>
    <row r="565">
      <c r="M565" s="3" t="n">
        <v>20141</v>
      </c>
      <c r="N565" t="inlineStr">
        <is>
          <t>MAKUTANO</t>
        </is>
      </c>
      <c r="R565" s="3" t="inlineStr">
        <is>
          <t>40312</t>
        </is>
      </c>
      <c r="AE565" s="324" t="n">
        <v>148</v>
      </c>
      <c r="AF565" s="324" t="inlineStr">
        <is>
          <t>Kakamega Town</t>
        </is>
      </c>
      <c r="AG565" s="324" t="n">
        <v>205</v>
      </c>
      <c r="AU565" t="n">
        <v>344</v>
      </c>
      <c r="AV565" t="inlineStr">
        <is>
          <t>NAKURU BRANCH</t>
        </is>
      </c>
      <c r="AW565" t="n">
        <v>26</v>
      </c>
      <c r="AX565" s="4" t="n"/>
    </row>
    <row r="566">
      <c r="M566" s="3" t="inlineStr">
        <is>
          <t>01020</t>
        </is>
      </c>
      <c r="N566" t="inlineStr">
        <is>
          <t>MAKUYU</t>
        </is>
      </c>
      <c r="R566" s="3" t="inlineStr">
        <is>
          <t>40313</t>
        </is>
      </c>
      <c r="AE566" s="324" t="n">
        <v>278</v>
      </c>
      <c r="AF566" s="324" t="inlineStr">
        <is>
          <t>Lubao</t>
        </is>
      </c>
      <c r="AG566" s="324" t="n">
        <v>205</v>
      </c>
      <c r="AU566" s="1" t="n">
        <v>342</v>
      </c>
      <c r="AV566" s="1" t="inlineStr">
        <is>
          <t>NKRUMAH ROAD BRANCH</t>
        </is>
      </c>
      <c r="AW566" s="1" t="n">
        <v>26</v>
      </c>
    </row>
    <row r="567">
      <c r="M567" s="3" t="n">
        <v>50122</v>
      </c>
      <c r="N567" t="inlineStr">
        <is>
          <t>MALAHA</t>
        </is>
      </c>
      <c r="R567" s="3" t="inlineStr">
        <is>
          <t>40314</t>
        </is>
      </c>
      <c r="AE567" s="324" t="n">
        <v>284</v>
      </c>
      <c r="AF567" s="324" t="inlineStr">
        <is>
          <t>Lurambi\Amalemba</t>
        </is>
      </c>
      <c r="AG567" s="324" t="n">
        <v>205</v>
      </c>
      <c r="AU567" s="1" t="n">
        <v>394</v>
      </c>
      <c r="AV567" s="1" t="inlineStr">
        <is>
          <t>HEAD OFFICE</t>
        </is>
      </c>
      <c r="AW567" s="1" t="n">
        <v>54</v>
      </c>
    </row>
    <row r="568">
      <c r="M568" s="3" t="n">
        <v>50209</v>
      </c>
      <c r="N568" t="inlineStr">
        <is>
          <t>MALAKISI</t>
        </is>
      </c>
      <c r="R568" s="3" t="inlineStr">
        <is>
          <t>40315</t>
        </is>
      </c>
      <c r="AE568" s="324" t="n">
        <v>392</v>
      </c>
      <c r="AF568" s="324" t="inlineStr">
        <is>
          <t>Mwiyala</t>
        </is>
      </c>
      <c r="AG568" s="324" t="n">
        <v>205</v>
      </c>
      <c r="AU568" s="1" t="n">
        <v>395</v>
      </c>
      <c r="AV568" s="1" t="inlineStr">
        <is>
          <t>KISUMU BRANCH</t>
        </is>
      </c>
      <c r="AW568" s="1" t="n">
        <v>54</v>
      </c>
    </row>
    <row r="569">
      <c r="M569" s="3" t="n">
        <v>50103</v>
      </c>
      <c r="N569" t="inlineStr">
        <is>
          <t>MALAVA</t>
        </is>
      </c>
      <c r="R569" s="3" t="inlineStr">
        <is>
          <t>40316</t>
        </is>
      </c>
      <c r="AE569" s="324" t="n">
        <v>617</v>
      </c>
      <c r="AF569" s="324" t="inlineStr">
        <is>
          <t>Kakamega East</t>
        </is>
      </c>
      <c r="AG569" s="324" t="n">
        <v>206</v>
      </c>
    </row>
    <row r="570">
      <c r="M570" s="3" t="n">
        <v>50221</v>
      </c>
      <c r="N570" t="inlineStr">
        <is>
          <t>MALIKI</t>
        </is>
      </c>
      <c r="R570" s="3" t="inlineStr">
        <is>
          <t>40317</t>
        </is>
      </c>
      <c r="AE570" s="324" t="n">
        <v>38</v>
      </c>
      <c r="AF570" s="324" t="inlineStr">
        <is>
          <t>Butali</t>
        </is>
      </c>
      <c r="AG570" s="324" t="n">
        <v>207</v>
      </c>
    </row>
    <row r="571">
      <c r="M571" s="3" t="n">
        <v>80200</v>
      </c>
      <c r="N571" t="inlineStr">
        <is>
          <t>MALINDI</t>
        </is>
      </c>
      <c r="R571" s="3" t="inlineStr">
        <is>
          <t>40318</t>
        </is>
      </c>
      <c r="AE571" s="324" t="n">
        <v>151</v>
      </c>
      <c r="AF571" s="324" t="inlineStr">
        <is>
          <t>Kakunga</t>
        </is>
      </c>
      <c r="AG571" s="324" t="n">
        <v>207</v>
      </c>
    </row>
    <row r="572">
      <c r="M572" s="3" t="n">
        <v>50123</v>
      </c>
      <c r="N572" t="inlineStr">
        <is>
          <t>MALINYA</t>
        </is>
      </c>
      <c r="R572" s="3" t="inlineStr">
        <is>
          <t>40319</t>
        </is>
      </c>
      <c r="AE572" s="324" t="n">
        <v>311</v>
      </c>
      <c r="AF572" s="324" t="inlineStr">
        <is>
          <t>Malava Town</t>
        </is>
      </c>
      <c r="AG572" s="324" t="n">
        <v>207</v>
      </c>
    </row>
    <row r="573">
      <c r="M573" s="3" t="n">
        <v>70300</v>
      </c>
      <c r="N573" t="inlineStr">
        <is>
          <t>MANDERA</t>
        </is>
      </c>
      <c r="R573" s="3" t="inlineStr">
        <is>
          <t>40320</t>
        </is>
      </c>
      <c r="AE573" s="324" t="n">
        <v>335</v>
      </c>
      <c r="AF573" s="324" t="inlineStr">
        <is>
          <t>Matete</t>
        </is>
      </c>
      <c r="AG573" s="324" t="n">
        <v>207</v>
      </c>
    </row>
    <row r="574">
      <c r="M574" s="3" t="n">
        <v>40509</v>
      </c>
      <c r="N574" t="inlineStr">
        <is>
          <t>MANGA</t>
        </is>
      </c>
      <c r="R574" s="3" t="inlineStr">
        <is>
          <t>40321</t>
        </is>
      </c>
      <c r="AE574" s="324" t="n">
        <v>519</v>
      </c>
      <c r="AF574" s="324" t="inlineStr">
        <is>
          <t>West Kenya</t>
        </is>
      </c>
      <c r="AG574" s="324" t="n">
        <v>207</v>
      </c>
    </row>
    <row r="575">
      <c r="M575" s="3" t="n">
        <v>80301</v>
      </c>
      <c r="N575" t="inlineStr">
        <is>
          <t>MANYANI</t>
        </is>
      </c>
      <c r="R575" s="3" t="inlineStr">
        <is>
          <t>40322</t>
        </is>
      </c>
      <c r="AE575" s="324" t="n">
        <v>30</v>
      </c>
      <c r="AF575" s="324" t="inlineStr">
        <is>
          <t>Bukura</t>
        </is>
      </c>
      <c r="AG575" s="324" t="n">
        <v>208</v>
      </c>
    </row>
    <row r="576">
      <c r="M576" s="3" t="n">
        <v>60101</v>
      </c>
      <c r="N576" t="inlineStr">
        <is>
          <t>MANYATTA</t>
        </is>
      </c>
      <c r="R576" s="3" t="inlineStr">
        <is>
          <t>40323</t>
        </is>
      </c>
      <c r="AE576" s="324" t="n">
        <v>84</v>
      </c>
      <c r="AF576" s="324" t="inlineStr">
        <is>
          <t>Eregi</t>
        </is>
      </c>
      <c r="AG576" s="324" t="n">
        <v>208</v>
      </c>
    </row>
    <row r="577">
      <c r="M577" s="3" t="n">
        <v>40625</v>
      </c>
      <c r="N577" t="inlineStr">
        <is>
          <t>MANYUANDA</t>
        </is>
      </c>
      <c r="R577" s="3" t="inlineStr">
        <is>
          <t>40324</t>
        </is>
      </c>
      <c r="AE577" s="324" t="n">
        <v>130</v>
      </c>
      <c r="AF577" s="324" t="inlineStr">
        <is>
          <t>Isilu</t>
        </is>
      </c>
      <c r="AG577" s="324" t="n">
        <v>208</v>
      </c>
    </row>
    <row r="578">
      <c r="M578" s="3" t="n">
        <v>50126</v>
      </c>
      <c r="N578" t="inlineStr">
        <is>
          <t>MANYULIA</t>
        </is>
      </c>
      <c r="R578" s="3" t="inlineStr">
        <is>
          <t>40325</t>
        </is>
      </c>
      <c r="AE578" s="324" t="n">
        <v>196</v>
      </c>
      <c r="AF578" s="324" t="inlineStr">
        <is>
          <t>Khayega</t>
        </is>
      </c>
      <c r="AG578" s="324" t="n">
        <v>208</v>
      </c>
    </row>
    <row r="579">
      <c r="M579" s="3" t="n">
        <v>10221</v>
      </c>
      <c r="N579" t="inlineStr">
        <is>
          <t>MARAGI</t>
        </is>
      </c>
      <c r="R579" s="3" t="inlineStr">
        <is>
          <t>40326</t>
        </is>
      </c>
      <c r="AE579" s="324" t="n">
        <v>314</v>
      </c>
      <c r="AF579" s="324" t="inlineStr">
        <is>
          <t>Malinya</t>
        </is>
      </c>
      <c r="AG579" s="324" t="n">
        <v>208</v>
      </c>
    </row>
    <row r="580">
      <c r="M580" s="3" t="n">
        <v>50300</v>
      </c>
      <c r="N580" t="inlineStr">
        <is>
          <t>MARAGOLI</t>
        </is>
      </c>
      <c r="R580" s="3" t="inlineStr">
        <is>
          <t>40327</t>
        </is>
      </c>
      <c r="AE580" s="324" t="n">
        <v>381</v>
      </c>
      <c r="AF580" s="324" t="inlineStr">
        <is>
          <t>Musoli</t>
        </is>
      </c>
      <c r="AG580" s="324" t="n">
        <v>208</v>
      </c>
    </row>
    <row r="581">
      <c r="M581" s="3" t="n">
        <v>10205</v>
      </c>
      <c r="N581" t="inlineStr">
        <is>
          <t>MARAGUA</t>
        </is>
      </c>
      <c r="R581" s="3" t="inlineStr">
        <is>
          <t>40328</t>
        </is>
      </c>
      <c r="AE581" s="324" t="n">
        <v>463</v>
      </c>
      <c r="AF581" s="324" t="inlineStr">
        <is>
          <t>Sigalagala</t>
        </is>
      </c>
      <c r="AG581" s="324" t="n">
        <v>208</v>
      </c>
    </row>
    <row r="582">
      <c r="M582" s="3" t="n">
        <v>20600</v>
      </c>
      <c r="N582" t="inlineStr">
        <is>
          <t>MARALAL</t>
        </is>
      </c>
      <c r="R582" s="3" t="inlineStr">
        <is>
          <t>40329</t>
        </is>
      </c>
      <c r="AE582" s="324" t="n">
        <v>464</v>
      </c>
      <c r="AF582" s="324" t="inlineStr">
        <is>
          <t>Sigalagala Junction</t>
        </is>
      </c>
      <c r="AG582" s="324" t="n">
        <v>208</v>
      </c>
    </row>
    <row r="583">
      <c r="M583" s="3" t="n">
        <v>40214</v>
      </c>
      <c r="N583" t="inlineStr">
        <is>
          <t>MARANI</t>
        </is>
      </c>
      <c r="R583" s="3" t="inlineStr">
        <is>
          <t>40330</t>
        </is>
      </c>
      <c r="AE583" s="324" t="n">
        <v>53</v>
      </c>
      <c r="AF583" s="324" t="inlineStr">
        <is>
          <t>Chimoi</t>
        </is>
      </c>
      <c r="AG583" s="324" t="n">
        <v>209</v>
      </c>
    </row>
    <row r="584">
      <c r="M584" s="3" t="n">
        <v>80113</v>
      </c>
      <c r="N584" t="inlineStr">
        <is>
          <t>MARIAKANI</t>
        </is>
      </c>
      <c r="R584" s="3" t="inlineStr">
        <is>
          <t>40331</t>
        </is>
      </c>
      <c r="AE584" s="324" t="n">
        <v>139</v>
      </c>
      <c r="AF584" s="324" t="inlineStr">
        <is>
          <t>Kaburengo</t>
        </is>
      </c>
      <c r="AG584" s="324" t="n">
        <v>209</v>
      </c>
    </row>
    <row r="585">
      <c r="M585" s="3" t="n">
        <v>30403</v>
      </c>
      <c r="N585" t="inlineStr">
        <is>
          <t>MARIGAT</t>
        </is>
      </c>
      <c r="R585" s="3" t="inlineStr">
        <is>
          <t>40400</t>
        </is>
      </c>
      <c r="AE585" s="324" t="n">
        <v>232</v>
      </c>
      <c r="AF585" s="324" t="inlineStr">
        <is>
          <t>Kipkaren River</t>
        </is>
      </c>
      <c r="AG585" s="324" t="n">
        <v>209</v>
      </c>
    </row>
    <row r="586">
      <c r="M586" s="3" t="n">
        <v>60408</v>
      </c>
      <c r="N586" t="inlineStr">
        <is>
          <t>MARIMA</t>
        </is>
      </c>
      <c r="R586" s="3" t="inlineStr">
        <is>
          <t>40401</t>
        </is>
      </c>
      <c r="AE586" s="324" t="n">
        <v>277</v>
      </c>
      <c r="AF586" s="324" t="inlineStr">
        <is>
          <t>Luandeti</t>
        </is>
      </c>
      <c r="AG586" s="324" t="n">
        <v>209</v>
      </c>
    </row>
    <row r="587">
      <c r="M587" s="3" t="n">
        <v>60215</v>
      </c>
      <c r="N587" t="inlineStr">
        <is>
          <t>MARIMANTI</t>
        </is>
      </c>
      <c r="R587" s="3" t="inlineStr">
        <is>
          <t>40402</t>
        </is>
      </c>
      <c r="AE587" s="324" t="n">
        <v>283</v>
      </c>
      <c r="AF587" s="324" t="inlineStr">
        <is>
          <t>Lumakanda</t>
        </is>
      </c>
      <c r="AG587" s="324" t="n">
        <v>209</v>
      </c>
    </row>
    <row r="588">
      <c r="M588" s="3" t="n">
        <v>40318</v>
      </c>
      <c r="N588" t="inlineStr">
        <is>
          <t>MARINDE</t>
        </is>
      </c>
      <c r="R588" s="3" t="inlineStr">
        <is>
          <t>40403</t>
        </is>
      </c>
      <c r="AE588" s="324" t="n">
        <v>504</v>
      </c>
      <c r="AF588" s="324" t="inlineStr">
        <is>
          <t>Vihiga County</t>
        </is>
      </c>
      <c r="AG588" s="324" t="n">
        <v>209</v>
      </c>
    </row>
    <row r="589">
      <c r="M589" s="3" t="n">
        <v>40408</v>
      </c>
      <c r="N589" t="inlineStr">
        <is>
          <t>MARIWA</t>
        </is>
      </c>
      <c r="R589" s="3" t="inlineStr">
        <is>
          <t>40404</t>
        </is>
      </c>
      <c r="AE589" s="324" t="n">
        <v>276</v>
      </c>
      <c r="AF589" s="324" t="inlineStr">
        <is>
          <t>Luanda Town</t>
        </is>
      </c>
      <c r="AG589" s="324" t="n">
        <v>210</v>
      </c>
    </row>
    <row r="590">
      <c r="M590" s="3" t="n">
        <v>20322</v>
      </c>
      <c r="N590" t="inlineStr">
        <is>
          <t>MARMANET</t>
        </is>
      </c>
      <c r="R590" s="3" t="inlineStr">
        <is>
          <t>40405</t>
        </is>
      </c>
      <c r="AE590" s="324" t="n">
        <v>20</v>
      </c>
      <c r="AF590" s="324" t="inlineStr">
        <is>
          <t>Bendera</t>
        </is>
      </c>
      <c r="AG590" s="324" t="n">
        <v>211</v>
      </c>
    </row>
    <row r="591">
      <c r="M591" s="3" t="n">
        <v>50500</v>
      </c>
      <c r="N591" t="inlineStr">
        <is>
          <t>MARSABIT</t>
        </is>
      </c>
      <c r="R591" s="3" t="inlineStr">
        <is>
          <t>40406</t>
        </is>
      </c>
      <c r="AE591" s="324" t="n">
        <v>51</v>
      </c>
      <c r="AF591" s="324" t="inlineStr">
        <is>
          <t>Cheptulu</t>
        </is>
      </c>
      <c r="AG591" s="324" t="n">
        <v>211</v>
      </c>
    </row>
    <row r="592">
      <c r="M592" s="3" t="n">
        <v>60500</v>
      </c>
      <c r="N592" t="inlineStr">
        <is>
          <t>MARSABIT</t>
        </is>
      </c>
      <c r="R592" s="3" t="inlineStr">
        <is>
          <t>40407</t>
        </is>
      </c>
      <c r="AE592" s="324" t="n">
        <v>121</v>
      </c>
      <c r="AF592" s="324" t="inlineStr">
        <is>
          <t>Hamisi</t>
        </is>
      </c>
      <c r="AG592" s="324" t="n">
        <v>211</v>
      </c>
    </row>
    <row r="593">
      <c r="M593" s="3" t="n">
        <v>10127</v>
      </c>
      <c r="N593" t="inlineStr">
        <is>
          <t>MARUA</t>
        </is>
      </c>
      <c r="R593" s="3" t="inlineStr">
        <is>
          <t>40408</t>
        </is>
      </c>
      <c r="AE593" s="324" t="n">
        <v>147</v>
      </c>
      <c r="AF593" s="324" t="inlineStr">
        <is>
          <t>Kaimosi</t>
        </is>
      </c>
      <c r="AG593" s="324" t="n">
        <v>211</v>
      </c>
    </row>
    <row r="594">
      <c r="M594" s="3" t="n">
        <v>50324</v>
      </c>
      <c r="N594" t="inlineStr">
        <is>
          <t>MASANA</t>
        </is>
      </c>
      <c r="R594" s="3" t="inlineStr">
        <is>
          <t>40409</t>
        </is>
      </c>
      <c r="AE594" s="324" t="n">
        <v>361</v>
      </c>
      <c r="AF594" s="324" t="inlineStr">
        <is>
          <t>Mudete</t>
        </is>
      </c>
      <c r="AG594" s="324" t="n">
        <v>211</v>
      </c>
    </row>
    <row r="595">
      <c r="M595" s="3" t="n">
        <v>40105</v>
      </c>
      <c r="N595" t="inlineStr">
        <is>
          <t>MASENO</t>
        </is>
      </c>
      <c r="R595" s="3" t="inlineStr">
        <is>
          <t>40410</t>
        </is>
      </c>
      <c r="AE595" s="324" t="n">
        <v>457</v>
      </c>
      <c r="AF595" s="324" t="inlineStr">
        <is>
          <t>Serem</t>
        </is>
      </c>
      <c r="AG595" s="324" t="n">
        <v>211</v>
      </c>
    </row>
    <row r="596">
      <c r="M596" s="3" t="n">
        <v>80312</v>
      </c>
      <c r="N596" t="inlineStr">
        <is>
          <t>MASHINI</t>
        </is>
      </c>
      <c r="R596" s="3" t="inlineStr">
        <is>
          <t>40411</t>
        </is>
      </c>
      <c r="AE596" s="324" t="n">
        <v>458</v>
      </c>
      <c r="AF596" s="324" t="inlineStr">
        <is>
          <t>Shamakhokho</t>
        </is>
      </c>
      <c r="AG596" s="324" t="n">
        <v>211</v>
      </c>
    </row>
    <row r="597">
      <c r="M597" s="3" t="inlineStr">
        <is>
          <t>01103</t>
        </is>
      </c>
      <c r="N597" t="inlineStr">
        <is>
          <t>MASHURU</t>
        </is>
      </c>
      <c r="R597" s="3" t="inlineStr">
        <is>
          <t>40412</t>
        </is>
      </c>
      <c r="AE597" s="324" t="n">
        <v>24</v>
      </c>
      <c r="AF597" s="324" t="inlineStr">
        <is>
          <t>Boyani</t>
        </is>
      </c>
      <c r="AG597" s="324" t="n">
        <v>212</v>
      </c>
    </row>
    <row r="598">
      <c r="M598" s="3" t="n">
        <v>90101</v>
      </c>
      <c r="N598" t="inlineStr">
        <is>
          <t>MASII</t>
        </is>
      </c>
      <c r="R598" s="3" t="inlineStr">
        <is>
          <t>40413</t>
        </is>
      </c>
      <c r="AE598" s="324" t="n">
        <v>44</v>
      </c>
      <c r="AF598" s="324" t="inlineStr">
        <is>
          <t>Chavakali</t>
        </is>
      </c>
      <c r="AG598" s="324" t="n">
        <v>212</v>
      </c>
    </row>
    <row r="599">
      <c r="M599" s="3" t="n">
        <v>40215</v>
      </c>
      <c r="N599" t="inlineStr">
        <is>
          <t>MASIMBA</t>
        </is>
      </c>
      <c r="R599" s="3" t="inlineStr">
        <is>
          <t>40414</t>
        </is>
      </c>
      <c r="AE599" s="324" t="n">
        <v>94</v>
      </c>
      <c r="AF599" s="324" t="inlineStr">
        <is>
          <t>Gambogi</t>
        </is>
      </c>
      <c r="AG599" s="324" t="n">
        <v>212</v>
      </c>
    </row>
    <row r="600">
      <c r="M600" s="3" t="n">
        <v>90141</v>
      </c>
      <c r="N600" t="inlineStr">
        <is>
          <t>MASINGA</t>
        </is>
      </c>
      <c r="R600" s="3" t="inlineStr">
        <is>
          <t>40415</t>
        </is>
      </c>
      <c r="AE600" s="324" t="n">
        <v>222</v>
      </c>
      <c r="AF600" s="324" t="inlineStr">
        <is>
          <t>Kilingili</t>
        </is>
      </c>
      <c r="AG600" s="324" t="n">
        <v>212</v>
      </c>
    </row>
    <row r="601">
      <c r="M601" s="3" t="inlineStr">
        <is>
          <t>01009</t>
        </is>
      </c>
      <c r="N601" t="inlineStr">
        <is>
          <t>MATAARA</t>
        </is>
      </c>
      <c r="R601" s="3" t="inlineStr">
        <is>
          <t>40416</t>
        </is>
      </c>
      <c r="AE601" s="324" t="n">
        <v>296</v>
      </c>
      <c r="AF601" s="324" t="inlineStr">
        <is>
          <t>Majengo</t>
        </is>
      </c>
      <c r="AG601" s="324" t="n">
        <v>212</v>
      </c>
    </row>
    <row r="602">
      <c r="M602" s="3" t="inlineStr">
        <is>
          <t>00221</t>
        </is>
      </c>
      <c r="N602" t="inlineStr">
        <is>
          <t>MATATHIA</t>
        </is>
      </c>
      <c r="R602" s="3" t="inlineStr">
        <is>
          <t>40417</t>
        </is>
      </c>
      <c r="AE602" s="324" t="n">
        <v>345</v>
      </c>
      <c r="AF602" s="324" t="inlineStr">
        <is>
          <t>Mbale</t>
        </is>
      </c>
      <c r="AG602" s="324" t="n">
        <v>212</v>
      </c>
    </row>
    <row r="603">
      <c r="M603" s="3" t="n">
        <v>50422</v>
      </c>
      <c r="N603" t="inlineStr">
        <is>
          <t>MATAYOS</t>
        </is>
      </c>
      <c r="R603" s="3" t="inlineStr">
        <is>
          <t>40418</t>
        </is>
      </c>
      <c r="AE603" s="324" t="n">
        <v>503</v>
      </c>
      <c r="AF603" s="324" t="inlineStr">
        <is>
          <t>Vihiga Centre</t>
        </is>
      </c>
      <c r="AG603" s="324" t="n">
        <v>212</v>
      </c>
    </row>
    <row r="604">
      <c r="M604" s="3" t="n">
        <v>50222</v>
      </c>
      <c r="N604" t="inlineStr">
        <is>
          <t>MATEKA</t>
        </is>
      </c>
      <c r="R604" s="3" t="inlineStr">
        <is>
          <t>40419</t>
        </is>
      </c>
      <c r="AE604" s="324" t="n">
        <v>14</v>
      </c>
      <c r="AF604" s="324" t="inlineStr">
        <is>
          <t>Balambala</t>
        </is>
      </c>
      <c r="AG604" s="324" t="n">
        <v>213</v>
      </c>
    </row>
    <row r="605">
      <c r="M605" s="3" t="n">
        <v>50136</v>
      </c>
      <c r="N605" t="inlineStr">
        <is>
          <t>MATETE</t>
        </is>
      </c>
      <c r="R605" s="3" t="inlineStr">
        <is>
          <t>40500</t>
        </is>
      </c>
      <c r="AE605" s="324" t="n">
        <v>62</v>
      </c>
      <c r="AF605" s="324" t="inlineStr">
        <is>
          <t>Danyere</t>
        </is>
      </c>
      <c r="AG605" s="324" t="n">
        <v>213</v>
      </c>
    </row>
    <row r="606">
      <c r="M606" s="3" t="inlineStr">
        <is>
          <t>00611</t>
        </is>
      </c>
      <c r="N606" t="inlineStr">
        <is>
          <t>MATHARE VALLEY</t>
        </is>
      </c>
      <c r="R606" s="3" t="inlineStr">
        <is>
          <t>40501</t>
        </is>
      </c>
      <c r="AE606" s="324" t="n">
        <v>67</v>
      </c>
      <c r="AF606" s="324" t="inlineStr">
        <is>
          <t>Dujis</t>
        </is>
      </c>
      <c r="AG606" s="324" t="n">
        <v>213</v>
      </c>
    </row>
    <row r="607">
      <c r="M607" s="3" t="inlineStr">
        <is>
          <t>00211</t>
        </is>
      </c>
      <c r="N607" t="inlineStr">
        <is>
          <t>MATHEINI</t>
        </is>
      </c>
      <c r="R607" s="3" t="inlineStr">
        <is>
          <t>40502</t>
        </is>
      </c>
      <c r="AE607" s="324" t="n">
        <v>456</v>
      </c>
      <c r="AF607" s="324" t="inlineStr">
        <is>
          <t>Sankuri</t>
        </is>
      </c>
      <c r="AG607" s="324" t="n">
        <v>213</v>
      </c>
    </row>
    <row r="608">
      <c r="M608" s="3" t="n">
        <v>90406</v>
      </c>
      <c r="N608" t="inlineStr">
        <is>
          <t>MATHUKI</t>
        </is>
      </c>
      <c r="R608" s="3" t="inlineStr">
        <is>
          <t>40503</t>
        </is>
      </c>
      <c r="AE608" s="324" t="n">
        <v>16</v>
      </c>
      <c r="AF608" s="324" t="inlineStr">
        <is>
          <t>Banisa</t>
        </is>
      </c>
      <c r="AG608" s="324" t="n">
        <v>214</v>
      </c>
    </row>
    <row r="609">
      <c r="M609" s="3" t="n">
        <v>90307</v>
      </c>
      <c r="N609" t="inlineStr">
        <is>
          <t>MATILIKU</t>
        </is>
      </c>
      <c r="R609" s="3" t="inlineStr">
        <is>
          <t>40504</t>
        </is>
      </c>
      <c r="AE609" s="324" t="n">
        <v>315</v>
      </c>
      <c r="AF609" s="324" t="inlineStr">
        <is>
          <t>Malka Mari</t>
        </is>
      </c>
      <c r="AG609" s="324" t="n">
        <v>214</v>
      </c>
    </row>
    <row r="610">
      <c r="M610" s="3" t="n">
        <v>90210</v>
      </c>
      <c r="N610" t="inlineStr">
        <is>
          <t>MATINYANI</t>
        </is>
      </c>
      <c r="R610" s="3" t="inlineStr">
        <is>
          <t>40505</t>
        </is>
      </c>
    </row>
    <row r="611">
      <c r="M611" s="3" t="n">
        <v>50223</v>
      </c>
      <c r="N611" t="inlineStr">
        <is>
          <t>MATOKHO</t>
        </is>
      </c>
      <c r="R611" s="3" t="inlineStr">
        <is>
          <t>40506</t>
        </is>
      </c>
    </row>
    <row r="612">
      <c r="M612" s="3" t="n">
        <v>80406</v>
      </c>
      <c r="N612" t="inlineStr">
        <is>
          <t>MATUGA</t>
        </is>
      </c>
      <c r="R612" s="3" t="inlineStr">
        <is>
          <t>40507</t>
        </is>
      </c>
    </row>
    <row r="613">
      <c r="M613" s="3" t="n">
        <v>30205</v>
      </c>
      <c r="N613" t="inlineStr">
        <is>
          <t>MATUNDA</t>
        </is>
      </c>
      <c r="R613" s="3" t="inlineStr">
        <is>
          <t>40508</t>
        </is>
      </c>
    </row>
    <row r="614">
      <c r="M614" s="3" t="n">
        <v>90119</v>
      </c>
      <c r="N614" t="inlineStr">
        <is>
          <t>MATUU</t>
        </is>
      </c>
      <c r="R614" s="3" t="inlineStr">
        <is>
          <t>40509</t>
        </is>
      </c>
    </row>
    <row r="615">
      <c r="M615" s="3" t="n">
        <v>20111</v>
      </c>
      <c r="N615" t="inlineStr">
        <is>
          <t>MAU NAROK</t>
        </is>
      </c>
      <c r="R615" s="3" t="inlineStr">
        <is>
          <t>40510</t>
        </is>
      </c>
    </row>
    <row r="616">
      <c r="M616" s="3" t="n">
        <v>20122</v>
      </c>
      <c r="N616" t="inlineStr">
        <is>
          <t>MAU SUMMIT</t>
        </is>
      </c>
      <c r="R616" s="3" t="inlineStr">
        <is>
          <t>40511</t>
        </is>
      </c>
    </row>
    <row r="617">
      <c r="M617" s="3" t="n">
        <v>60600</v>
      </c>
      <c r="N617" t="inlineStr">
        <is>
          <t>MAUA</t>
        </is>
      </c>
      <c r="R617" s="3" t="inlineStr">
        <is>
          <t>40512</t>
        </is>
      </c>
    </row>
    <row r="618">
      <c r="M618" s="3" t="n">
        <v>50124</v>
      </c>
      <c r="N618" t="inlineStr">
        <is>
          <t>MAUTAMA</t>
        </is>
      </c>
      <c r="R618" s="3" t="inlineStr">
        <is>
          <t>40513</t>
        </is>
      </c>
    </row>
    <row r="619">
      <c r="M619" s="3" t="n">
        <v>90304</v>
      </c>
      <c r="N619" t="inlineStr">
        <is>
          <t>MAVINDINI</t>
        </is>
      </c>
      <c r="R619" s="3" t="inlineStr">
        <is>
          <t>40514</t>
        </is>
      </c>
    </row>
    <row r="620">
      <c r="M620" s="3" t="n">
        <v>40310</v>
      </c>
      <c r="N620" t="inlineStr">
        <is>
          <t>MAWEGO</t>
        </is>
      </c>
      <c r="R620" s="3" t="inlineStr">
        <is>
          <t>40515</t>
        </is>
      </c>
    </row>
    <row r="621">
      <c r="M621" s="3" t="n">
        <v>50224</v>
      </c>
      <c r="N621" t="inlineStr">
        <is>
          <t>MAYANJA</t>
        </is>
      </c>
      <c r="R621" s="3" t="inlineStr">
        <is>
          <t>40600</t>
        </is>
      </c>
    </row>
    <row r="622">
      <c r="M622" s="3" t="n">
        <v>80114</v>
      </c>
      <c r="N622" t="inlineStr">
        <is>
          <t>MAZERAS</t>
        </is>
      </c>
      <c r="R622" s="3" t="inlineStr">
        <is>
          <t>40601</t>
        </is>
      </c>
    </row>
    <row r="623">
      <c r="M623" s="3" t="inlineStr">
        <is>
          <t>00503</t>
        </is>
      </c>
      <c r="N623" t="inlineStr">
        <is>
          <t>MBAGATHI</t>
        </is>
      </c>
      <c r="R623" s="3" t="inlineStr">
        <is>
          <t>40602</t>
        </is>
      </c>
    </row>
    <row r="624">
      <c r="M624" s="3" t="n">
        <v>50236</v>
      </c>
      <c r="N624" t="inlineStr">
        <is>
          <t>MBAKALO</t>
        </is>
      </c>
      <c r="R624" s="3" t="inlineStr">
        <is>
          <t>40603</t>
        </is>
      </c>
    </row>
    <row r="625">
      <c r="M625" s="3" t="inlineStr">
        <is>
          <t>00231</t>
        </is>
      </c>
      <c r="N625" t="inlineStr">
        <is>
          <t>MBALI YA NJIKU</t>
        </is>
      </c>
      <c r="R625" s="3" t="inlineStr">
        <is>
          <t>40604</t>
        </is>
      </c>
    </row>
    <row r="626">
      <c r="M626" s="3" t="n">
        <v>40305</v>
      </c>
      <c r="N626" t="inlineStr">
        <is>
          <t>MBITA</t>
        </is>
      </c>
      <c r="R626" s="3" t="inlineStr">
        <is>
          <t>40605</t>
        </is>
      </c>
    </row>
    <row r="627">
      <c r="M627" s="3" t="n">
        <v>90214</v>
      </c>
      <c r="N627" t="inlineStr">
        <is>
          <t>MBITINI</t>
        </is>
      </c>
      <c r="R627" s="3" t="inlineStr">
        <is>
          <t>40606</t>
        </is>
      </c>
    </row>
    <row r="628">
      <c r="M628" s="3" t="n">
        <v>90110</v>
      </c>
      <c r="N628" t="inlineStr">
        <is>
          <t>MBIUNI</t>
        </is>
      </c>
      <c r="R628" s="3" t="inlineStr">
        <is>
          <t>40607</t>
        </is>
      </c>
    </row>
    <row r="629">
      <c r="M629" s="3" t="inlineStr">
        <is>
          <t>00616</t>
        </is>
      </c>
      <c r="N629" t="inlineStr">
        <is>
          <t>MBONO ROAD</t>
        </is>
      </c>
      <c r="R629" s="3" t="inlineStr">
        <is>
          <t>40608</t>
        </is>
      </c>
    </row>
    <row r="630">
      <c r="M630" s="3" t="n">
        <v>90127</v>
      </c>
      <c r="N630" t="inlineStr">
        <is>
          <t>MBUMBUNI</t>
        </is>
      </c>
      <c r="R630" s="3" t="inlineStr">
        <is>
          <t>40609</t>
        </is>
      </c>
    </row>
    <row r="631">
      <c r="M631" s="3" t="n">
        <v>90142</v>
      </c>
      <c r="N631" t="inlineStr">
        <is>
          <t>MBUSYANI</t>
        </is>
      </c>
      <c r="R631" s="3" t="inlineStr">
        <is>
          <t>40610</t>
        </is>
      </c>
    </row>
    <row r="632">
      <c r="M632" s="3" t="inlineStr">
        <is>
          <t>00504</t>
        </is>
      </c>
      <c r="N632" t="inlineStr">
        <is>
          <t>MCHUMBI ROAD</t>
        </is>
      </c>
      <c r="R632" s="3" t="inlineStr">
        <is>
          <t>40611</t>
        </is>
      </c>
    </row>
    <row r="633">
      <c r="M633" s="3" t="n">
        <v>10222</v>
      </c>
      <c r="N633" t="inlineStr">
        <is>
          <t>MCHUNGUCHA</t>
        </is>
      </c>
      <c r="R633" s="3" t="inlineStr">
        <is>
          <t>40612</t>
        </is>
      </c>
    </row>
    <row r="634">
      <c r="M634" s="3" t="n">
        <v>20104</v>
      </c>
      <c r="N634" t="inlineStr">
        <is>
          <t>MENENGAI</t>
        </is>
      </c>
      <c r="R634" s="3" t="inlineStr">
        <is>
          <t>40613</t>
        </is>
      </c>
    </row>
    <row r="635">
      <c r="M635" s="3" t="n">
        <v>20419</v>
      </c>
      <c r="N635" t="inlineStr">
        <is>
          <t>MERIGI</t>
        </is>
      </c>
      <c r="R635" s="3" t="inlineStr">
        <is>
          <t>40614</t>
        </is>
      </c>
    </row>
    <row r="636">
      <c r="M636" s="3" t="n">
        <v>60200</v>
      </c>
      <c r="N636" t="inlineStr">
        <is>
          <t>MERU</t>
        </is>
      </c>
      <c r="R636" s="3" t="inlineStr">
        <is>
          <t>40615</t>
        </is>
      </c>
    </row>
    <row r="637">
      <c r="M637" s="3" t="n">
        <v>40319</v>
      </c>
      <c r="N637" t="inlineStr">
        <is>
          <t>MFANGANO</t>
        </is>
      </c>
      <c r="R637" s="3" t="inlineStr">
        <is>
          <t>40616</t>
        </is>
      </c>
    </row>
    <row r="638">
      <c r="M638" s="3" t="n">
        <v>80313</v>
      </c>
      <c r="N638" t="inlineStr">
        <is>
          <t>MGAMBONYI</t>
        </is>
      </c>
      <c r="R638" s="3" t="inlineStr">
        <is>
          <t>40617</t>
        </is>
      </c>
    </row>
    <row r="639">
      <c r="M639" s="3" t="n">
        <v>80306</v>
      </c>
      <c r="N639" t="inlineStr">
        <is>
          <t>MGANGE</t>
        </is>
      </c>
      <c r="R639" s="3" t="inlineStr">
        <is>
          <t>40618</t>
        </is>
      </c>
    </row>
    <row r="640">
      <c r="M640" s="3" t="n">
        <v>60604</v>
      </c>
      <c r="N640" t="inlineStr">
        <is>
          <t>MIATHENE</t>
        </is>
      </c>
      <c r="R640" s="3" t="inlineStr">
        <is>
          <t>40619</t>
        </is>
      </c>
    </row>
    <row r="641">
      <c r="M641" s="3" t="n">
        <v>1029</v>
      </c>
      <c r="N641" t="inlineStr">
        <is>
          <t>MIGIOINI</t>
        </is>
      </c>
      <c r="R641" s="3" t="inlineStr">
        <is>
          <t>40620</t>
        </is>
      </c>
    </row>
    <row r="642">
      <c r="M642" s="3" t="n">
        <v>90402</v>
      </c>
      <c r="N642" t="inlineStr">
        <is>
          <t>MIGWANI</t>
        </is>
      </c>
      <c r="R642" s="3" t="inlineStr">
        <is>
          <t>40621</t>
        </is>
      </c>
    </row>
    <row r="643">
      <c r="M643" s="3" t="n">
        <v>20301</v>
      </c>
      <c r="N643" t="inlineStr">
        <is>
          <t>MIHARATI</t>
        </is>
      </c>
      <c r="R643" s="3" t="inlineStr">
        <is>
          <t>40622</t>
        </is>
      </c>
    </row>
    <row r="644">
      <c r="M644" s="3" t="n">
        <v>10128</v>
      </c>
      <c r="N644" t="inlineStr">
        <is>
          <t>MIHUTI</t>
        </is>
      </c>
      <c r="R644" s="3" t="inlineStr">
        <is>
          <t>40623</t>
        </is>
      </c>
    </row>
    <row r="645">
      <c r="M645" s="3" t="n">
        <v>40225</v>
      </c>
      <c r="N645" t="inlineStr">
        <is>
          <t>MIKAYI</t>
        </is>
      </c>
      <c r="R645" s="3" t="inlineStr">
        <is>
          <t>40624</t>
        </is>
      </c>
    </row>
    <row r="646">
      <c r="M646" s="3" t="n">
        <v>60607</v>
      </c>
      <c r="N646" t="inlineStr">
        <is>
          <t>MIKINDURI</t>
        </is>
      </c>
      <c r="R646" s="3" t="inlineStr">
        <is>
          <t>40625</t>
        </is>
      </c>
    </row>
    <row r="647">
      <c r="M647" s="3" t="n">
        <v>60208</v>
      </c>
      <c r="N647" t="inlineStr">
        <is>
          <t>MIKUMBUNI</t>
        </is>
      </c>
      <c r="R647" s="3" t="inlineStr">
        <is>
          <t>40626</t>
        </is>
      </c>
    </row>
    <row r="648">
      <c r="M648" s="3" t="n">
        <v>20123</v>
      </c>
      <c r="N648" t="inlineStr">
        <is>
          <t>MILTON SIDING</t>
        </is>
      </c>
      <c r="R648" s="3" t="inlineStr">
        <is>
          <t>40627</t>
        </is>
      </c>
    </row>
    <row r="649">
      <c r="M649" s="3" t="n">
        <v>20124</v>
      </c>
      <c r="N649" t="inlineStr">
        <is>
          <t>MIRANGINE</t>
        </is>
      </c>
      <c r="R649" s="3" t="inlineStr">
        <is>
          <t>40628</t>
        </is>
      </c>
    </row>
    <row r="650">
      <c r="M650" s="3" t="n">
        <v>40320</v>
      </c>
      <c r="N650" t="inlineStr">
        <is>
          <t>MIROGI</t>
        </is>
      </c>
      <c r="R650" s="3" t="inlineStr">
        <is>
          <t>40629</t>
        </is>
      </c>
    </row>
    <row r="651">
      <c r="M651" s="3" t="n">
        <v>50207</v>
      </c>
      <c r="N651" t="inlineStr">
        <is>
          <t>MISIKHU</t>
        </is>
      </c>
      <c r="R651" s="3" t="inlineStr">
        <is>
          <t>40630</t>
        </is>
      </c>
    </row>
    <row r="652">
      <c r="M652" s="3" t="n">
        <v>40626</v>
      </c>
      <c r="N652" t="inlineStr">
        <is>
          <t>MISORI</t>
        </is>
      </c>
      <c r="R652" s="3" t="inlineStr">
        <is>
          <t>40631</t>
        </is>
      </c>
    </row>
    <row r="653">
      <c r="M653" s="3" t="n">
        <v>90104</v>
      </c>
      <c r="N653" t="inlineStr">
        <is>
          <t>MITABONI</t>
        </is>
      </c>
      <c r="R653" s="3" t="inlineStr">
        <is>
          <t>40632</t>
        </is>
      </c>
    </row>
    <row r="654">
      <c r="M654" s="3" t="n">
        <v>60204</v>
      </c>
      <c r="N654" t="inlineStr">
        <is>
          <t>MITUNGUU</t>
        </is>
      </c>
      <c r="R654" s="3" t="inlineStr">
        <is>
          <t>40633</t>
        </is>
      </c>
    </row>
    <row r="655">
      <c r="M655" s="3" t="n">
        <v>90112</v>
      </c>
      <c r="N655" t="inlineStr">
        <is>
          <t>MIU</t>
        </is>
      </c>
      <c r="R655" s="3" t="inlineStr">
        <is>
          <t>40634</t>
        </is>
      </c>
    </row>
    <row r="656">
      <c r="M656" s="3" t="n">
        <v>40106</v>
      </c>
      <c r="N656" t="inlineStr">
        <is>
          <t>MIWANI</t>
        </is>
      </c>
      <c r="R656" s="3" t="inlineStr">
        <is>
          <t>40635</t>
        </is>
      </c>
    </row>
    <row r="657">
      <c r="M657" s="3" t="n">
        <v>80106</v>
      </c>
      <c r="N657" t="inlineStr">
        <is>
          <t>MKOMANI</t>
        </is>
      </c>
      <c r="R657" s="3" t="inlineStr">
        <is>
          <t>40636</t>
        </is>
      </c>
    </row>
    <row r="658">
      <c r="M658" s="3" t="n">
        <v>20312</v>
      </c>
      <c r="N658" t="inlineStr">
        <is>
          <t>MOCHONGOI</t>
        </is>
      </c>
      <c r="R658" s="3" t="inlineStr">
        <is>
          <t>40637</t>
        </is>
      </c>
    </row>
    <row r="659">
      <c r="M659" s="3" t="n">
        <v>20403</v>
      </c>
      <c r="N659" t="inlineStr">
        <is>
          <t>MOGONGA</t>
        </is>
      </c>
      <c r="R659" s="3" t="inlineStr">
        <is>
          <t>40638</t>
        </is>
      </c>
    </row>
    <row r="660">
      <c r="M660" s="3" t="n">
        <v>20105</v>
      </c>
      <c r="N660" t="inlineStr">
        <is>
          <t>MOGOTIO</t>
        </is>
      </c>
      <c r="R660" s="3" t="inlineStr">
        <is>
          <t>40639</t>
        </is>
      </c>
    </row>
    <row r="661">
      <c r="M661" s="3" t="n">
        <v>80115</v>
      </c>
      <c r="N661" t="inlineStr">
        <is>
          <t>MOI AIRPORT</t>
        </is>
      </c>
      <c r="R661" s="3" t="inlineStr">
        <is>
          <t>40640</t>
        </is>
      </c>
    </row>
    <row r="662">
      <c r="M662" s="3" t="inlineStr">
        <is>
          <t>00700</t>
        </is>
      </c>
      <c r="N662" t="inlineStr">
        <is>
          <t>MOI AVENUE</t>
        </is>
      </c>
      <c r="R662" s="3" t="inlineStr">
        <is>
          <t>40641</t>
        </is>
      </c>
    </row>
    <row r="663">
      <c r="M663" s="3" t="n">
        <v>30104</v>
      </c>
      <c r="N663" t="inlineStr">
        <is>
          <t>MOI BEN</t>
        </is>
      </c>
      <c r="R663" s="3" t="inlineStr">
        <is>
          <t>40642</t>
        </is>
      </c>
    </row>
    <row r="664">
      <c r="M664" s="3" t="n">
        <v>30107</v>
      </c>
      <c r="N664" t="inlineStr">
        <is>
          <t>MOI UNIVERSITY</t>
        </is>
      </c>
      <c r="R664" s="3" t="inlineStr">
        <is>
          <t>40643</t>
        </is>
      </c>
    </row>
    <row r="665">
      <c r="M665" s="3" t="n">
        <v>30202</v>
      </c>
      <c r="N665" t="inlineStr">
        <is>
          <t>MOI'S BRIDGE</t>
        </is>
      </c>
      <c r="R665" s="3" t="inlineStr">
        <is>
          <t>40644</t>
        </is>
      </c>
    </row>
    <row r="666">
      <c r="M666" s="3" t="n">
        <v>40510</v>
      </c>
      <c r="N666" t="inlineStr">
        <is>
          <t>MOKOMONI</t>
        </is>
      </c>
      <c r="R666" s="3" t="inlineStr">
        <is>
          <t>40700</t>
        </is>
      </c>
    </row>
    <row r="667">
      <c r="M667" s="3" t="n">
        <v>80502</v>
      </c>
      <c r="N667" t="inlineStr">
        <is>
          <t>MOKOWE</t>
        </is>
      </c>
      <c r="R667" s="3" t="inlineStr">
        <is>
          <t>40701</t>
        </is>
      </c>
    </row>
    <row r="668">
      <c r="M668" s="3" t="n">
        <v>20106</v>
      </c>
      <c r="N668" t="inlineStr">
        <is>
          <t>MOLO</t>
        </is>
      </c>
      <c r="R668" s="3" t="inlineStr">
        <is>
          <t>40702</t>
        </is>
      </c>
    </row>
    <row r="669">
      <c r="M669" s="3" t="n">
        <v>80100</v>
      </c>
      <c r="N669" t="inlineStr">
        <is>
          <t>MOMBASA</t>
        </is>
      </c>
      <c r="R669" s="3" t="inlineStr">
        <is>
          <t>40703</t>
        </is>
      </c>
    </row>
    <row r="670">
      <c r="M670" s="3" t="n">
        <v>40207</v>
      </c>
      <c r="N670" t="inlineStr">
        <is>
          <t>MOSOCHO</t>
        </is>
      </c>
      <c r="R670" s="3" t="inlineStr">
        <is>
          <t>50100</t>
        </is>
      </c>
    </row>
    <row r="671">
      <c r="M671" s="3" t="n">
        <v>30307</v>
      </c>
      <c r="N671" t="inlineStr">
        <is>
          <t>MOSORIOT</t>
        </is>
      </c>
      <c r="R671" s="3" t="inlineStr">
        <is>
          <t>50101</t>
        </is>
      </c>
    </row>
    <row r="672">
      <c r="M672" s="3" t="n">
        <v>20125</v>
      </c>
      <c r="N672" t="inlineStr">
        <is>
          <t>MOSQUE ROAD</t>
        </is>
      </c>
      <c r="R672" s="3" t="inlineStr">
        <is>
          <t>50102</t>
        </is>
      </c>
    </row>
    <row r="673">
      <c r="M673" s="3" t="n">
        <v>60700</v>
      </c>
      <c r="N673" t="inlineStr">
        <is>
          <t>MOYARE</t>
        </is>
      </c>
      <c r="R673" s="3" t="inlineStr">
        <is>
          <t>50103</t>
        </is>
      </c>
    </row>
    <row r="674">
      <c r="M674" s="3" t="n">
        <v>50323</v>
      </c>
      <c r="N674" t="inlineStr">
        <is>
          <t>MPAKA</t>
        </is>
      </c>
      <c r="R674" s="3" t="inlineStr">
        <is>
          <t>50104</t>
        </is>
      </c>
    </row>
    <row r="675">
      <c r="M675" s="3" t="n">
        <v>80503</v>
      </c>
      <c r="N675" t="inlineStr">
        <is>
          <t>MPEKETONI</t>
        </is>
      </c>
      <c r="R675" s="3" t="inlineStr">
        <is>
          <t>50105</t>
        </is>
      </c>
    </row>
    <row r="676">
      <c r="M676" s="3" t="n">
        <v>80404</v>
      </c>
      <c r="N676" t="inlineStr">
        <is>
          <t>MSAMBWENI</t>
        </is>
      </c>
      <c r="R676" s="3" t="inlineStr">
        <is>
          <t>50106</t>
        </is>
      </c>
    </row>
    <row r="677">
      <c r="M677" s="3" t="n">
        <v>90128</v>
      </c>
      <c r="N677" t="inlineStr">
        <is>
          <t>MTITO ANDEI</t>
        </is>
      </c>
      <c r="R677" s="3" t="inlineStr">
        <is>
          <t>50107</t>
        </is>
      </c>
    </row>
    <row r="678">
      <c r="M678" s="3" t="n">
        <v>80111</v>
      </c>
      <c r="N678" t="inlineStr">
        <is>
          <t>MTONGWE</t>
        </is>
      </c>
      <c r="R678" s="3" t="inlineStr">
        <is>
          <t>50108</t>
        </is>
      </c>
    </row>
    <row r="679">
      <c r="M679" s="3" t="n">
        <v>80117</v>
      </c>
      <c r="N679" t="inlineStr">
        <is>
          <t>MTOPANGA</t>
        </is>
      </c>
      <c r="R679" s="3" t="inlineStr">
        <is>
          <t>50109</t>
        </is>
      </c>
    </row>
    <row r="680">
      <c r="M680" s="3" t="n">
        <v>80109</v>
      </c>
      <c r="N680" t="inlineStr">
        <is>
          <t>MTWAPA</t>
        </is>
      </c>
      <c r="R680" s="3" t="inlineStr">
        <is>
          <t>50110</t>
        </is>
      </c>
    </row>
    <row r="681">
      <c r="M681" s="3" t="n">
        <v>50423</v>
      </c>
      <c r="N681" t="inlineStr">
        <is>
          <t>MUBWAYO</t>
        </is>
      </c>
      <c r="R681" s="3" t="inlineStr">
        <is>
          <t>50111</t>
        </is>
      </c>
    </row>
    <row r="682">
      <c r="M682" s="3" t="n">
        <v>70102</v>
      </c>
      <c r="N682" t="inlineStr">
        <is>
          <t>MUDDO GASHE</t>
        </is>
      </c>
      <c r="R682" s="3" t="inlineStr">
        <is>
          <t>50112</t>
        </is>
      </c>
    </row>
    <row r="683">
      <c r="M683" s="3" t="n">
        <v>40627</v>
      </c>
      <c r="N683" t="inlineStr">
        <is>
          <t>MUDHIERO</t>
        </is>
      </c>
      <c r="R683" s="3" t="inlineStr">
        <is>
          <t>50113</t>
        </is>
      </c>
    </row>
    <row r="684">
      <c r="M684" s="3" t="inlineStr">
        <is>
          <t>00228</t>
        </is>
      </c>
      <c r="N684" t="inlineStr">
        <is>
          <t>MUGUGA</t>
        </is>
      </c>
      <c r="R684" s="3" t="inlineStr">
        <is>
          <t>50114</t>
        </is>
      </c>
    </row>
    <row r="685">
      <c r="M685" s="3" t="inlineStr">
        <is>
          <t>01021</t>
        </is>
      </c>
      <c r="N685" t="inlineStr">
        <is>
          <t>MUGUMOINI</t>
        </is>
      </c>
      <c r="R685" s="3" t="inlineStr">
        <is>
          <t>50115</t>
        </is>
      </c>
    </row>
    <row r="686">
      <c r="M686" s="3" t="n">
        <v>10129</v>
      </c>
      <c r="N686" t="inlineStr">
        <is>
          <t>MUGUNDA</t>
        </is>
      </c>
      <c r="R686" s="3" t="inlineStr">
        <is>
          <t>50116</t>
        </is>
      </c>
    </row>
    <row r="687">
      <c r="M687" s="3" t="inlineStr">
        <is>
          <t>00234</t>
        </is>
      </c>
      <c r="N687" t="inlineStr">
        <is>
          <t>MUHOHO</t>
        </is>
      </c>
      <c r="R687" s="3" t="inlineStr">
        <is>
          <t>50117</t>
        </is>
      </c>
    </row>
    <row r="688">
      <c r="M688" s="3" t="n">
        <v>40107</v>
      </c>
      <c r="N688" t="inlineStr">
        <is>
          <t>MUHORONI</t>
        </is>
      </c>
      <c r="R688" s="3" t="inlineStr">
        <is>
          <t>50118</t>
        </is>
      </c>
    </row>
    <row r="689">
      <c r="M689" s="3" t="n">
        <v>20323</v>
      </c>
      <c r="N689" t="inlineStr">
        <is>
          <t>MUHOTETU</t>
        </is>
      </c>
      <c r="R689" s="3" t="inlineStr">
        <is>
          <t>50119</t>
        </is>
      </c>
    </row>
    <row r="690">
      <c r="M690" s="3" t="n">
        <v>40409</v>
      </c>
      <c r="N690" t="inlineStr">
        <is>
          <t>MUHURU BAY</t>
        </is>
      </c>
      <c r="R690" s="3" t="inlineStr">
        <is>
          <t>50120</t>
        </is>
      </c>
    </row>
    <row r="691">
      <c r="M691" s="3" t="n">
        <v>1022</v>
      </c>
      <c r="N691" t="inlineStr">
        <is>
          <t>MUKARARA</t>
        </is>
      </c>
      <c r="R691" s="3" t="inlineStr">
        <is>
          <t>50121</t>
        </is>
      </c>
    </row>
    <row r="692">
      <c r="M692" s="3" t="n">
        <v>1023</v>
      </c>
      <c r="N692" t="inlineStr">
        <is>
          <t>MUKERENJU</t>
        </is>
      </c>
      <c r="R692" s="3" t="inlineStr">
        <is>
          <t>50122</t>
        </is>
      </c>
    </row>
    <row r="693">
      <c r="M693" s="3" t="n">
        <v>20156</v>
      </c>
      <c r="N693" t="inlineStr">
        <is>
          <t>MUKEU</t>
        </is>
      </c>
      <c r="R693" s="3" t="inlineStr">
        <is>
          <t>50123</t>
        </is>
      </c>
    </row>
    <row r="694">
      <c r="M694" s="3" t="n">
        <v>50225</v>
      </c>
      <c r="N694" t="inlineStr">
        <is>
          <t>MUKHE</t>
        </is>
      </c>
      <c r="R694" s="3" t="inlineStr">
        <is>
          <t>50124</t>
        </is>
      </c>
    </row>
    <row r="695">
      <c r="M695" s="3" t="n">
        <v>40410</v>
      </c>
      <c r="N695" t="inlineStr">
        <is>
          <t>MUKURO</t>
        </is>
      </c>
      <c r="R695" s="3" t="inlineStr">
        <is>
          <t>50125</t>
        </is>
      </c>
    </row>
    <row r="696">
      <c r="M696" s="3" t="n">
        <v>10103</v>
      </c>
      <c r="N696" t="inlineStr">
        <is>
          <t>MUKURWEINI</t>
        </is>
      </c>
      <c r="R696" s="3" t="inlineStr">
        <is>
          <t>50126</t>
        </is>
      </c>
    </row>
    <row r="697">
      <c r="M697" s="3" t="n">
        <v>90216</v>
      </c>
      <c r="N697" t="inlineStr">
        <is>
          <t>MULANGO</t>
        </is>
      </c>
      <c r="R697" s="3" t="inlineStr">
        <is>
          <t>50127</t>
        </is>
      </c>
    </row>
    <row r="698">
      <c r="M698" s="3" t="n">
        <v>50428</v>
      </c>
      <c r="N698" t="inlineStr">
        <is>
          <t>MULUANDA</t>
        </is>
      </c>
      <c r="R698" s="3" t="inlineStr">
        <is>
          <t>50128</t>
        </is>
      </c>
    </row>
    <row r="699">
      <c r="M699" s="3" t="n">
        <v>50102</v>
      </c>
      <c r="N699" t="inlineStr">
        <is>
          <t>MUMIAS</t>
        </is>
      </c>
      <c r="R699" s="3" t="inlineStr">
        <is>
          <t>50129</t>
        </is>
      </c>
    </row>
    <row r="700">
      <c r="M700" s="3" t="n">
        <v>50134</v>
      </c>
      <c r="N700" t="inlineStr">
        <is>
          <t>MUNAMI</t>
        </is>
      </c>
      <c r="R700" s="3" t="inlineStr">
        <is>
          <t>50130</t>
        </is>
      </c>
    </row>
    <row r="701">
      <c r="M701" s="3" t="n">
        <v>50424</v>
      </c>
      <c r="N701" t="inlineStr">
        <is>
          <t>MUNDIKA</t>
        </is>
      </c>
      <c r="R701" s="3" t="inlineStr">
        <is>
          <t>50131</t>
        </is>
      </c>
    </row>
    <row r="702">
      <c r="M702" s="3" t="inlineStr">
        <is>
          <t>00235</t>
        </is>
      </c>
      <c r="N702" t="inlineStr">
        <is>
          <t>MUNDORO</t>
        </is>
      </c>
      <c r="R702" s="3" t="inlineStr">
        <is>
          <t>50132</t>
        </is>
      </c>
    </row>
    <row r="703">
      <c r="M703" s="3" t="n">
        <v>50425</v>
      </c>
      <c r="N703" t="inlineStr">
        <is>
          <t>MUNGATSI</t>
        </is>
      </c>
      <c r="R703" s="3" t="inlineStr">
        <is>
          <t>50133</t>
        </is>
      </c>
    </row>
    <row r="704">
      <c r="M704" s="3" t="n">
        <v>10130</v>
      </c>
      <c r="N704" t="inlineStr">
        <is>
          <t>MUNYU</t>
        </is>
      </c>
      <c r="R704" s="3" t="inlineStr">
        <is>
          <t>50134</t>
        </is>
      </c>
    </row>
    <row r="705">
      <c r="M705" s="3" t="n">
        <v>10200</v>
      </c>
      <c r="N705" t="inlineStr">
        <is>
          <t>MURANGA</t>
        </is>
      </c>
      <c r="R705" s="3" t="inlineStr">
        <is>
          <t>50135</t>
        </is>
      </c>
    </row>
    <row r="706">
      <c r="M706" s="3" t="n">
        <v>10228</v>
      </c>
      <c r="N706" t="inlineStr">
        <is>
          <t>MURARANDIA</t>
        </is>
      </c>
      <c r="R706" s="3" t="inlineStr">
        <is>
          <t>50136</t>
        </is>
      </c>
    </row>
    <row r="707">
      <c r="M707" s="3" t="n">
        <v>1024</v>
      </c>
      <c r="N707" t="inlineStr">
        <is>
          <t>MURUKA</t>
        </is>
      </c>
      <c r="R707" s="3" t="inlineStr">
        <is>
          <t>50200</t>
        </is>
      </c>
    </row>
    <row r="708">
      <c r="M708" s="3" t="n">
        <v>50426</v>
      </c>
      <c r="N708" t="inlineStr">
        <is>
          <t>MURUMBA</t>
        </is>
      </c>
      <c r="R708" s="3" t="inlineStr">
        <is>
          <t>50201</t>
        </is>
      </c>
    </row>
    <row r="709">
      <c r="M709" s="3" t="n">
        <v>20316</v>
      </c>
      <c r="N709" t="inlineStr">
        <is>
          <t>MURUNGARU</t>
        </is>
      </c>
      <c r="R709" s="3" t="inlineStr">
        <is>
          <t>50202</t>
        </is>
      </c>
    </row>
    <row r="710">
      <c r="M710" s="3" t="n">
        <v>60120</v>
      </c>
      <c r="N710" t="inlineStr">
        <is>
          <t>MURURI</t>
        </is>
      </c>
      <c r="R710" s="3" t="inlineStr">
        <is>
          <t>50203</t>
        </is>
      </c>
    </row>
    <row r="711">
      <c r="M711" s="3" t="n">
        <v>50125</v>
      </c>
      <c r="N711" t="inlineStr">
        <is>
          <t>MUSANDA</t>
        </is>
      </c>
      <c r="R711" s="3" t="inlineStr">
        <is>
          <t>50204</t>
        </is>
      </c>
    </row>
    <row r="712">
      <c r="M712" s="3" t="n">
        <v>90211</v>
      </c>
      <c r="N712" t="inlineStr">
        <is>
          <t>MUTHA</t>
        </is>
      </c>
      <c r="R712" s="3" t="inlineStr">
        <is>
          <t>50205</t>
        </is>
      </c>
    </row>
    <row r="713">
      <c r="M713" s="3" t="n">
        <v>60605</v>
      </c>
      <c r="N713" t="inlineStr">
        <is>
          <t>MUTHAARA</t>
        </is>
      </c>
      <c r="R713" s="3" t="inlineStr">
        <is>
          <t>50206</t>
        </is>
      </c>
    </row>
    <row r="714">
      <c r="M714" s="3" t="inlineStr">
        <is>
          <t>00619</t>
        </is>
      </c>
      <c r="N714" t="inlineStr">
        <is>
          <t>MUTHAIGA</t>
        </is>
      </c>
      <c r="R714" s="3" t="inlineStr">
        <is>
          <t>50207</t>
        </is>
      </c>
    </row>
    <row r="715">
      <c r="M715" s="3" t="n">
        <v>90113</v>
      </c>
      <c r="N715" t="inlineStr">
        <is>
          <t>MUTHETHENI</t>
        </is>
      </c>
      <c r="R715" s="3" t="inlineStr">
        <is>
          <t>50208</t>
        </is>
      </c>
    </row>
    <row r="716">
      <c r="M716" s="3" t="n">
        <v>10131</v>
      </c>
      <c r="N716" t="inlineStr">
        <is>
          <t>MUTHINGA</t>
        </is>
      </c>
      <c r="R716" s="3" t="inlineStr">
        <is>
          <t>50209</t>
        </is>
      </c>
    </row>
    <row r="717">
      <c r="M717" s="3" t="n">
        <v>10223</v>
      </c>
      <c r="N717" t="inlineStr">
        <is>
          <t>MUTHITHI</t>
        </is>
      </c>
      <c r="R717" s="3" t="inlineStr">
        <is>
          <t>50210</t>
        </is>
      </c>
    </row>
    <row r="718">
      <c r="M718" s="3" t="n">
        <v>90117</v>
      </c>
      <c r="N718" t="inlineStr">
        <is>
          <t>MUTITUNI</t>
        </is>
      </c>
      <c r="R718" s="3" t="inlineStr">
        <is>
          <t>50211</t>
        </is>
      </c>
    </row>
    <row r="719">
      <c r="M719" s="3" t="n">
        <v>90201</v>
      </c>
      <c r="N719" t="inlineStr">
        <is>
          <t>MUTOMO</t>
        </is>
      </c>
      <c r="R719" s="3" t="inlineStr">
        <is>
          <t>50213</t>
        </is>
      </c>
    </row>
    <row r="720">
      <c r="M720" s="3" t="n">
        <v>60606</v>
      </c>
      <c r="N720" t="inlineStr">
        <is>
          <t>MUTUATI</t>
        </is>
      </c>
      <c r="R720" s="3" t="inlineStr">
        <is>
          <t>50214</t>
        </is>
      </c>
    </row>
    <row r="721">
      <c r="M721" s="3" t="n">
        <v>40628</v>
      </c>
      <c r="N721" t="inlineStr">
        <is>
          <t>MUTUMBU</t>
        </is>
      </c>
      <c r="R721" s="3" t="inlineStr">
        <is>
          <t>50215</t>
        </is>
      </c>
    </row>
    <row r="722">
      <c r="M722" s="3" t="n">
        <v>90114</v>
      </c>
      <c r="N722" t="inlineStr">
        <is>
          <t>MUUMANDU</t>
        </is>
      </c>
      <c r="R722" s="3" t="inlineStr">
        <is>
          <t>50216</t>
        </is>
      </c>
    </row>
    <row r="723">
      <c r="M723" s="3" t="n">
        <v>90102</v>
      </c>
      <c r="N723" t="inlineStr">
        <is>
          <t>MWALA</t>
        </is>
      </c>
      <c r="R723" s="3" t="inlineStr">
        <is>
          <t>50217</t>
        </is>
      </c>
    </row>
    <row r="724">
      <c r="M724" s="3" t="n">
        <v>80305</v>
      </c>
      <c r="N724" t="inlineStr">
        <is>
          <t>MWATATE</t>
        </is>
      </c>
      <c r="R724" s="3" t="inlineStr">
        <is>
          <t>50218</t>
        </is>
      </c>
    </row>
    <row r="725">
      <c r="M725" s="3" t="n">
        <v>10104</v>
      </c>
      <c r="N725" t="inlineStr">
        <is>
          <t>MWEIGA</t>
        </is>
      </c>
      <c r="R725" s="3" t="inlineStr">
        <is>
          <t>50219</t>
        </is>
      </c>
    </row>
    <row r="726">
      <c r="M726" s="3" t="n">
        <v>10132</v>
      </c>
      <c r="N726" t="inlineStr">
        <is>
          <t>MWERU</t>
        </is>
      </c>
      <c r="R726" s="3" t="inlineStr">
        <is>
          <t>50221</t>
        </is>
      </c>
    </row>
    <row r="727">
      <c r="M727" s="3" t="n">
        <v>90400</v>
      </c>
      <c r="N727" t="inlineStr">
        <is>
          <t>MWINGI</t>
        </is>
      </c>
      <c r="R727" s="3" t="inlineStr">
        <is>
          <t>50222</t>
        </is>
      </c>
    </row>
    <row r="728">
      <c r="M728" s="3" t="n">
        <v>50226</v>
      </c>
      <c r="N728" t="inlineStr">
        <is>
          <t>MYANGA</t>
        </is>
      </c>
      <c r="R728" s="3" t="inlineStr">
        <is>
          <t>50223</t>
        </is>
      </c>
    </row>
    <row r="729">
      <c r="M729" s="3" t="n">
        <v>20504</v>
      </c>
      <c r="N729" t="inlineStr">
        <is>
          <t>NAIRAGE ENKARE</t>
        </is>
      </c>
      <c r="R729" s="3" t="inlineStr">
        <is>
          <t>50224</t>
        </is>
      </c>
    </row>
    <row r="730">
      <c r="M730" s="3" t="inlineStr">
        <is>
          <t>00100</t>
        </is>
      </c>
      <c r="N730" t="inlineStr">
        <is>
          <t>NAIROBI GPO</t>
        </is>
      </c>
      <c r="R730" s="3" t="inlineStr">
        <is>
          <t>50225</t>
        </is>
      </c>
    </row>
    <row r="731">
      <c r="M731" s="3" t="n">
        <v>20142</v>
      </c>
      <c r="N731" t="inlineStr">
        <is>
          <t>NAISHI</t>
        </is>
      </c>
      <c r="R731" s="3" t="inlineStr">
        <is>
          <t>50226</t>
        </is>
      </c>
    </row>
    <row r="732">
      <c r="M732" s="3" t="n">
        <v>50211</v>
      </c>
      <c r="N732" t="inlineStr">
        <is>
          <t>NAITIRI</t>
        </is>
      </c>
      <c r="R732" s="3" t="inlineStr">
        <is>
          <t>50227</t>
        </is>
      </c>
    </row>
    <row r="733">
      <c r="M733" s="3" t="n">
        <v>20117</v>
      </c>
      <c r="N733" t="inlineStr">
        <is>
          <t>NAIVASHA</t>
        </is>
      </c>
      <c r="R733" s="3" t="inlineStr">
        <is>
          <t>50228</t>
        </is>
      </c>
    </row>
    <row r="734">
      <c r="M734" s="3" t="n">
        <v>20100</v>
      </c>
      <c r="N734" t="inlineStr">
        <is>
          <t>NAKURU</t>
        </is>
      </c>
      <c r="R734" s="3" t="inlineStr">
        <is>
          <t>50229</t>
        </is>
      </c>
    </row>
    <row r="735">
      <c r="M735" s="3" t="n">
        <v>50227</v>
      </c>
      <c r="N735" t="inlineStr">
        <is>
          <t>NALONDO</t>
        </is>
      </c>
      <c r="R735" s="3" t="inlineStr">
        <is>
          <t>50230</t>
        </is>
      </c>
    </row>
    <row r="736">
      <c r="M736" s="3" t="inlineStr">
        <is>
          <t>00207</t>
        </is>
      </c>
      <c r="N736" t="inlineStr">
        <is>
          <t>NAMANGA</t>
        </is>
      </c>
      <c r="R736" s="3" t="inlineStr">
        <is>
          <t>50231</t>
        </is>
      </c>
    </row>
    <row r="737">
      <c r="M737" s="3" t="n">
        <v>50127</v>
      </c>
      <c r="N737" t="inlineStr">
        <is>
          <t>NAMBACHA</t>
        </is>
      </c>
      <c r="R737" s="3" t="inlineStr">
        <is>
          <t>50232</t>
        </is>
      </c>
    </row>
    <row r="738">
      <c r="M738" s="3" t="n">
        <v>50409</v>
      </c>
      <c r="N738" t="inlineStr">
        <is>
          <t>NAMBALE</t>
        </is>
      </c>
      <c r="R738" s="3" t="inlineStr">
        <is>
          <t>50233</t>
        </is>
      </c>
    </row>
    <row r="739">
      <c r="M739" s="3" t="n">
        <v>50231</v>
      </c>
      <c r="N739" t="inlineStr">
        <is>
          <t>NAMORIO</t>
        </is>
      </c>
      <c r="R739" s="3" t="inlineStr">
        <is>
          <t>50234</t>
        </is>
      </c>
    </row>
    <row r="740">
      <c r="M740" s="3" t="n">
        <v>30301</v>
      </c>
      <c r="N740" t="inlineStr">
        <is>
          <t>NANDI HILLS</t>
        </is>
      </c>
      <c r="R740" s="3" t="inlineStr">
        <is>
          <t>50235</t>
        </is>
      </c>
    </row>
    <row r="741">
      <c r="M741" s="3" t="n">
        <v>50228</v>
      </c>
      <c r="N741" t="inlineStr">
        <is>
          <t>NANDOLIA</t>
        </is>
      </c>
      <c r="R741" s="3" t="inlineStr">
        <is>
          <t>50236</t>
        </is>
      </c>
    </row>
    <row r="742">
      <c r="M742" s="3" t="n">
        <v>50239</v>
      </c>
      <c r="N742" t="inlineStr">
        <is>
          <t>NANGILI</t>
        </is>
      </c>
      <c r="R742" s="3" t="inlineStr">
        <is>
          <t>50237</t>
        </is>
      </c>
    </row>
    <row r="743">
      <c r="M743" s="3" t="n">
        <v>40615</v>
      </c>
      <c r="N743" t="inlineStr">
        <is>
          <t>NANGO</t>
        </is>
      </c>
      <c r="R743" s="3" t="inlineStr">
        <is>
          <t>50239</t>
        </is>
      </c>
    </row>
    <row r="744">
      <c r="M744" s="3" t="n">
        <v>10400</v>
      </c>
      <c r="N744" t="inlineStr">
        <is>
          <t>NANYUKI</t>
        </is>
      </c>
      <c r="R744" s="3" t="inlineStr">
        <is>
          <t>50240</t>
        </is>
      </c>
    </row>
    <row r="745">
      <c r="M745" s="3" t="n">
        <v>10105</v>
      </c>
      <c r="N745" t="inlineStr">
        <is>
          <t>NARO MORU</t>
        </is>
      </c>
      <c r="R745" s="3" t="inlineStr">
        <is>
          <t>50241</t>
        </is>
      </c>
    </row>
    <row r="746">
      <c r="M746" s="3" t="n">
        <v>20505</v>
      </c>
      <c r="N746" t="inlineStr">
        <is>
          <t>NARO SURA</t>
        </is>
      </c>
      <c r="R746" s="3" t="inlineStr">
        <is>
          <t>50242</t>
        </is>
      </c>
    </row>
    <row r="747">
      <c r="M747" s="3" t="n">
        <v>20500</v>
      </c>
      <c r="N747" t="inlineStr">
        <is>
          <t>NAROK</t>
        </is>
      </c>
      <c r="R747" s="3" t="inlineStr">
        <is>
          <t>50243</t>
        </is>
      </c>
    </row>
    <row r="748">
      <c r="M748" s="3" t="inlineStr">
        <is>
          <t>01025</t>
        </is>
      </c>
      <c r="N748" t="inlineStr">
        <is>
          <t>NDAKAINI</t>
        </is>
      </c>
      <c r="R748" s="3" t="inlineStr">
        <is>
          <t>50244</t>
        </is>
      </c>
    </row>
    <row r="749">
      <c r="M749" s="3" t="n">
        <v>90118</v>
      </c>
      <c r="N749" t="inlineStr">
        <is>
          <t>NDALANI</t>
        </is>
      </c>
      <c r="R749" s="3" t="inlineStr">
        <is>
          <t>50300</t>
        </is>
      </c>
    </row>
    <row r="750">
      <c r="M750" s="3" t="n">
        <v>30123</v>
      </c>
      <c r="N750" t="inlineStr">
        <is>
          <t>NDALAT</t>
        </is>
      </c>
      <c r="R750" s="3" t="inlineStr">
        <is>
          <t>50301</t>
        </is>
      </c>
    </row>
    <row r="751">
      <c r="M751" s="3" t="n">
        <v>30219</v>
      </c>
      <c r="N751" t="inlineStr">
        <is>
          <t>NDALU</t>
        </is>
      </c>
      <c r="R751" s="3" t="inlineStr">
        <is>
          <t>50302</t>
        </is>
      </c>
    </row>
    <row r="752">
      <c r="M752" s="3" t="n">
        <v>20404</v>
      </c>
      <c r="N752" t="inlineStr">
        <is>
          <t>NDANAI</t>
        </is>
      </c>
      <c r="R752" s="3" t="inlineStr">
        <is>
          <t>50303</t>
        </is>
      </c>
    </row>
    <row r="753">
      <c r="M753" s="3" t="n">
        <v>20306</v>
      </c>
      <c r="N753" t="inlineStr">
        <is>
          <t>NDARAGWA</t>
        </is>
      </c>
      <c r="R753" s="3" t="inlineStr">
        <is>
          <t>50304</t>
        </is>
      </c>
    </row>
    <row r="754">
      <c r="M754" s="3" t="n">
        <v>20420</v>
      </c>
      <c r="N754" t="inlineStr">
        <is>
          <t>NDARAWETA</t>
        </is>
      </c>
      <c r="R754" s="3" t="inlineStr">
        <is>
          <t>50305</t>
        </is>
      </c>
    </row>
    <row r="755">
      <c r="M755" s="3" t="inlineStr">
        <is>
          <t>00230</t>
        </is>
      </c>
      <c r="N755" t="inlineStr">
        <is>
          <t>NDENDERU</t>
        </is>
      </c>
      <c r="R755" s="3" t="inlineStr">
        <is>
          <t>50306</t>
        </is>
      </c>
    </row>
    <row r="756">
      <c r="M756" s="3" t="n">
        <v>40629</v>
      </c>
      <c r="N756" t="inlineStr">
        <is>
          <t>NDERE</t>
        </is>
      </c>
      <c r="R756" s="3" t="inlineStr">
        <is>
          <t>50307</t>
        </is>
      </c>
    </row>
    <row r="757">
      <c r="M757" s="3" t="inlineStr">
        <is>
          <t>00229</t>
        </is>
      </c>
      <c r="N757" t="inlineStr">
        <is>
          <t>NDERU</t>
        </is>
      </c>
      <c r="R757" s="3" t="inlineStr">
        <is>
          <t>50308</t>
        </is>
      </c>
    </row>
    <row r="758">
      <c r="M758" s="3" t="n">
        <v>40302</v>
      </c>
      <c r="N758" t="inlineStr">
        <is>
          <t>NDHIWA</t>
        </is>
      </c>
      <c r="R758" s="3" t="inlineStr">
        <is>
          <t>50309</t>
        </is>
      </c>
    </row>
    <row r="759">
      <c r="M759" s="3" t="n">
        <v>40630</v>
      </c>
      <c r="N759" t="inlineStr">
        <is>
          <t>NDIGWA</t>
        </is>
      </c>
      <c r="R759" s="3" t="inlineStr">
        <is>
          <t>50310</t>
        </is>
      </c>
    </row>
    <row r="760">
      <c r="M760" s="3" t="n">
        <v>40321</v>
      </c>
      <c r="N760" t="inlineStr">
        <is>
          <t>NDIRU</t>
        </is>
      </c>
      <c r="R760" s="3" t="inlineStr">
        <is>
          <t>50311</t>
        </is>
      </c>
    </row>
    <row r="761">
      <c r="M761" s="3" t="n">
        <v>1016</v>
      </c>
      <c r="N761" t="inlineStr">
        <is>
          <t>NDITHINI</t>
        </is>
      </c>
      <c r="R761" s="3" t="inlineStr">
        <is>
          <t>50312</t>
        </is>
      </c>
    </row>
    <row r="762">
      <c r="M762" s="3" t="n">
        <v>50229</v>
      </c>
      <c r="N762" t="inlineStr">
        <is>
          <t>NDIVISI</t>
        </is>
      </c>
      <c r="R762" s="3" t="inlineStr">
        <is>
          <t>50313</t>
        </is>
      </c>
    </row>
    <row r="763">
      <c r="M763" s="3" t="n">
        <v>90202</v>
      </c>
      <c r="N763" t="inlineStr">
        <is>
          <t>NDOOA</t>
        </is>
      </c>
      <c r="R763" s="3" t="inlineStr">
        <is>
          <t>50314</t>
        </is>
      </c>
    </row>
    <row r="764">
      <c r="M764" s="3" t="n">
        <v>40602</v>
      </c>
      <c r="N764" t="inlineStr">
        <is>
          <t>NDORI</t>
        </is>
      </c>
      <c r="R764" s="3" t="inlineStr">
        <is>
          <t>50315</t>
        </is>
      </c>
    </row>
    <row r="765">
      <c r="M765" s="3" t="n">
        <v>20317</v>
      </c>
      <c r="N765" t="inlineStr">
        <is>
          <t>NDUNYU NJERU</t>
        </is>
      </c>
      <c r="R765" s="3" t="inlineStr">
        <is>
          <t>50316</t>
        </is>
      </c>
    </row>
    <row r="766">
      <c r="M766" s="3" t="n">
        <v>80311</v>
      </c>
      <c r="N766" t="inlineStr">
        <is>
          <t>NGAMBWA</t>
        </is>
      </c>
      <c r="R766" s="3" t="inlineStr">
        <is>
          <t>50317</t>
        </is>
      </c>
    </row>
    <row r="767">
      <c r="M767" s="3" t="n">
        <v>60115</v>
      </c>
      <c r="N767" t="inlineStr">
        <is>
          <t>NGANDURI</t>
        </is>
      </c>
      <c r="R767" s="3" t="inlineStr">
        <is>
          <t>50318</t>
        </is>
      </c>
    </row>
    <row r="768">
      <c r="M768" s="3" t="n">
        <v>20308</v>
      </c>
      <c r="N768" t="inlineStr">
        <is>
          <t>NGANO</t>
        </is>
      </c>
      <c r="R768" s="3" t="inlineStr">
        <is>
          <t>50319</t>
        </is>
      </c>
    </row>
    <row r="769">
      <c r="M769" s="3" t="inlineStr">
        <is>
          <t>00600</t>
        </is>
      </c>
      <c r="N769" t="inlineStr">
        <is>
          <t>NGARA RD</t>
        </is>
      </c>
      <c r="R769" s="3" t="inlineStr">
        <is>
          <t>50320</t>
        </is>
      </c>
    </row>
    <row r="770">
      <c r="M770" s="3" t="n">
        <v>20328</v>
      </c>
      <c r="N770" t="inlineStr">
        <is>
          <t>NGARUA</t>
        </is>
      </c>
      <c r="R770" s="3" t="inlineStr">
        <is>
          <t>50321</t>
        </is>
      </c>
    </row>
    <row r="771">
      <c r="M771" s="3" t="inlineStr">
        <is>
          <t>00218</t>
        </is>
      </c>
      <c r="N771" t="inlineStr">
        <is>
          <t>NGECHA</t>
        </is>
      </c>
      <c r="R771" s="3" t="inlineStr">
        <is>
          <t>50322</t>
        </is>
      </c>
    </row>
    <row r="772">
      <c r="M772" s="3" t="n">
        <v>20324</v>
      </c>
      <c r="N772" t="inlineStr">
        <is>
          <t>NGELESHA</t>
        </is>
      </c>
      <c r="R772" s="3" t="inlineStr">
        <is>
          <t>50323</t>
        </is>
      </c>
    </row>
    <row r="773">
      <c r="M773" s="3" t="inlineStr">
        <is>
          <t>00901</t>
        </is>
      </c>
      <c r="N773" t="inlineStr">
        <is>
          <t>NGEWA</t>
        </is>
      </c>
      <c r="R773" s="3" t="inlineStr">
        <is>
          <t>50324</t>
        </is>
      </c>
    </row>
    <row r="774">
      <c r="M774" s="3" t="n">
        <v>30404</v>
      </c>
      <c r="N774" t="inlineStr">
        <is>
          <t>NGINYANG</t>
        </is>
      </c>
      <c r="R774" s="3" t="inlineStr">
        <is>
          <t>50325</t>
        </is>
      </c>
    </row>
    <row r="775">
      <c r="M775" s="3" t="n">
        <v>40603</v>
      </c>
      <c r="N775" t="inlineStr">
        <is>
          <t>NGIYA</t>
        </is>
      </c>
      <c r="R775" s="3" t="inlineStr">
        <is>
          <t>50400</t>
        </is>
      </c>
    </row>
    <row r="776">
      <c r="M776" s="3" t="inlineStr">
        <is>
          <t>01012</t>
        </is>
      </c>
      <c r="N776" t="inlineStr">
        <is>
          <t>NGOLIBA</t>
        </is>
      </c>
      <c r="R776" s="3" t="inlineStr">
        <is>
          <t>50401</t>
        </is>
      </c>
    </row>
    <row r="777">
      <c r="M777" s="3" t="n">
        <v>10229</v>
      </c>
      <c r="N777" t="inlineStr">
        <is>
          <t>NGONDA</t>
        </is>
      </c>
      <c r="R777" s="3" t="inlineStr">
        <is>
          <t>50403</t>
        </is>
      </c>
    </row>
    <row r="778">
      <c r="M778" s="3" t="inlineStr">
        <is>
          <t>00208</t>
        </is>
      </c>
      <c r="N778" t="inlineStr">
        <is>
          <t>NGONG HILLS</t>
        </is>
      </c>
      <c r="R778" s="3" t="inlineStr">
        <is>
          <t>50404</t>
        </is>
      </c>
    </row>
    <row r="779">
      <c r="M779" s="3" t="inlineStr">
        <is>
          <t>00505</t>
        </is>
      </c>
      <c r="N779" t="inlineStr">
        <is>
          <t>NGONG RD</t>
        </is>
      </c>
      <c r="R779" s="3" t="inlineStr">
        <is>
          <t>50405</t>
        </is>
      </c>
    </row>
    <row r="780">
      <c r="M780" s="3" t="n">
        <v>20126</v>
      </c>
      <c r="N780" t="inlineStr">
        <is>
          <t>NGORIKA</t>
        </is>
      </c>
      <c r="R780" s="3" t="inlineStr">
        <is>
          <t>50406</t>
        </is>
      </c>
    </row>
    <row r="781">
      <c r="M781" s="3" t="inlineStr">
        <is>
          <t>00225</t>
        </is>
      </c>
      <c r="N781" t="inlineStr">
        <is>
          <t>NGORONGO</t>
        </is>
      </c>
      <c r="R781" s="3" t="inlineStr">
        <is>
          <t>50407</t>
        </is>
      </c>
    </row>
    <row r="782">
      <c r="M782" s="3" t="n">
        <v>90407</v>
      </c>
      <c r="N782" t="inlineStr">
        <is>
          <t>NGUNI</t>
        </is>
      </c>
      <c r="R782" s="3" t="inlineStr">
        <is>
          <t>50408</t>
        </is>
      </c>
    </row>
    <row r="783">
      <c r="M783" s="3" t="n">
        <v>10224</v>
      </c>
      <c r="N783" t="inlineStr">
        <is>
          <t>NGUYOINI</t>
        </is>
      </c>
      <c r="R783" s="3" t="inlineStr">
        <is>
          <t>50409</t>
        </is>
      </c>
    </row>
    <row r="784">
      <c r="M784" s="3" t="n">
        <v>90129</v>
      </c>
      <c r="N784" t="inlineStr">
        <is>
          <t>NGWATA</t>
        </is>
      </c>
      <c r="R784" s="3" t="inlineStr">
        <is>
          <t>50410</t>
        </is>
      </c>
    </row>
    <row r="785">
      <c r="M785" s="3" t="n">
        <v>40702</v>
      </c>
      <c r="N785" t="inlineStr">
        <is>
          <t>NJIPISHIP</t>
        </is>
      </c>
      <c r="R785" s="3" t="inlineStr">
        <is>
          <t>50411</t>
        </is>
      </c>
    </row>
    <row r="786">
      <c r="M786" s="3" t="n">
        <v>20107</v>
      </c>
      <c r="N786" t="inlineStr">
        <is>
          <t>NJORO</t>
        </is>
      </c>
      <c r="R786" s="3" t="inlineStr">
        <is>
          <t>50412</t>
        </is>
      </c>
    </row>
    <row r="787">
      <c r="M787" s="3" t="n">
        <v>60214</v>
      </c>
      <c r="N787" t="inlineStr">
        <is>
          <t>NKONDI</t>
        </is>
      </c>
      <c r="R787" s="3" t="inlineStr">
        <is>
          <t>50413</t>
        </is>
      </c>
    </row>
    <row r="788">
      <c r="M788" s="3" t="n">
        <v>60202</v>
      </c>
      <c r="N788" t="inlineStr">
        <is>
          <t>NKUBU</t>
        </is>
      </c>
      <c r="R788" s="3" t="inlineStr">
        <is>
          <t>50414</t>
        </is>
      </c>
    </row>
    <row r="789">
      <c r="M789" s="3" t="n">
        <v>20154</v>
      </c>
      <c r="N789" t="inlineStr">
        <is>
          <t>NORTH KINANGOP</t>
        </is>
      </c>
      <c r="R789" s="3" t="inlineStr">
        <is>
          <t>50415</t>
        </is>
      </c>
    </row>
    <row r="790">
      <c r="M790" s="3" t="n">
        <v>20318</v>
      </c>
      <c r="N790" t="inlineStr">
        <is>
          <t>NORTH KINANGOP</t>
        </is>
      </c>
      <c r="R790" s="3" t="inlineStr">
        <is>
          <t>50416</t>
        </is>
      </c>
    </row>
    <row r="791">
      <c r="M791" s="3" t="n">
        <v>40417</v>
      </c>
      <c r="N791" t="inlineStr">
        <is>
          <t>NTIMARU</t>
        </is>
      </c>
      <c r="R791" s="3" t="inlineStr">
        <is>
          <t>50417</t>
        </is>
      </c>
    </row>
    <row r="792">
      <c r="M792" s="3" t="n">
        <v>90130</v>
      </c>
      <c r="N792" t="inlineStr">
        <is>
          <t>NUNGUNI</t>
        </is>
      </c>
      <c r="R792" s="3" t="inlineStr">
        <is>
          <t>50418</t>
        </is>
      </c>
    </row>
    <row r="793">
      <c r="M793" s="3" t="n">
        <v>90408</v>
      </c>
      <c r="N793" t="inlineStr">
        <is>
          <t>NUU</t>
        </is>
      </c>
      <c r="R793" s="3" t="inlineStr">
        <is>
          <t>50419</t>
        </is>
      </c>
    </row>
    <row r="794">
      <c r="M794" s="3" t="n">
        <v>40124</v>
      </c>
      <c r="N794" t="inlineStr">
        <is>
          <t>NYABONDO</t>
        </is>
      </c>
      <c r="R794" s="3" t="inlineStr">
        <is>
          <t>50420</t>
        </is>
      </c>
    </row>
    <row r="795">
      <c r="M795" s="3" t="n">
        <v>40322</v>
      </c>
      <c r="N795" t="inlineStr">
        <is>
          <t>NYABURI</t>
        </is>
      </c>
      <c r="R795" s="3" t="inlineStr">
        <is>
          <t>50421</t>
        </is>
      </c>
    </row>
    <row r="796">
      <c r="M796" s="3" t="n">
        <v>40217</v>
      </c>
      <c r="N796" t="inlineStr">
        <is>
          <t>NYACHEKI</t>
        </is>
      </c>
      <c r="R796" s="3" t="inlineStr">
        <is>
          <t>50422</t>
        </is>
      </c>
    </row>
    <row r="797">
      <c r="M797" s="3" t="n">
        <v>40631</v>
      </c>
      <c r="N797" t="inlineStr">
        <is>
          <t>NYADORERA</t>
        </is>
      </c>
      <c r="R797" s="3" t="inlineStr">
        <is>
          <t>50423</t>
        </is>
      </c>
    </row>
    <row r="798">
      <c r="M798" s="3" t="n">
        <v>20300</v>
      </c>
      <c r="N798" t="inlineStr">
        <is>
          <t>NYAHURURU</t>
        </is>
      </c>
      <c r="R798" s="3" t="inlineStr">
        <is>
          <t>50424</t>
        </is>
      </c>
    </row>
    <row r="799">
      <c r="M799" s="3" t="n">
        <v>40125</v>
      </c>
      <c r="N799" t="inlineStr">
        <is>
          <t>NYAKWERE</t>
        </is>
      </c>
      <c r="R799" s="3" t="inlineStr">
        <is>
          <t>50425</t>
        </is>
      </c>
    </row>
    <row r="800">
      <c r="M800" s="3" t="n">
        <v>80118</v>
      </c>
      <c r="N800" t="inlineStr">
        <is>
          <t>NYALI</t>
        </is>
      </c>
      <c r="R800" s="3" t="inlineStr">
        <is>
          <t>50426</t>
        </is>
      </c>
    </row>
    <row r="801">
      <c r="M801" s="3" t="n">
        <v>40203</v>
      </c>
      <c r="N801" t="inlineStr">
        <is>
          <t>NYAMACHE</t>
        </is>
      </c>
      <c r="R801" s="3" t="inlineStr">
        <is>
          <t>50427</t>
        </is>
      </c>
    </row>
    <row r="802">
      <c r="M802" s="3" t="n">
        <v>40206</v>
      </c>
      <c r="N802" t="inlineStr">
        <is>
          <t>NYAMARAMBE</t>
        </is>
      </c>
      <c r="R802" s="3" t="inlineStr">
        <is>
          <t>50428</t>
        </is>
      </c>
    </row>
    <row r="803">
      <c r="M803" s="3" t="n">
        <v>40205</v>
      </c>
      <c r="N803" t="inlineStr">
        <is>
          <t>NYAMBUNWA</t>
        </is>
      </c>
      <c r="R803" s="3" t="inlineStr">
        <is>
          <t>50429</t>
        </is>
      </c>
    </row>
    <row r="804">
      <c r="M804" s="3" t="n">
        <v>40500</v>
      </c>
      <c r="N804" t="inlineStr">
        <is>
          <t>NYAMIRA</t>
        </is>
      </c>
      <c r="R804" s="3" t="inlineStr">
        <is>
          <t>50500</t>
        </is>
      </c>
    </row>
    <row r="805">
      <c r="M805" s="3" t="n">
        <v>40632</v>
      </c>
      <c r="N805" t="inlineStr">
        <is>
          <t>NYAMONYE</t>
        </is>
      </c>
      <c r="R805" s="3" t="inlineStr">
        <is>
          <t>60100</t>
        </is>
      </c>
    </row>
    <row r="806">
      <c r="M806" s="3" t="n">
        <v>40419</v>
      </c>
      <c r="N806" t="inlineStr">
        <is>
          <t>NYAMTIRO</t>
        </is>
      </c>
      <c r="R806" s="3" t="inlineStr">
        <is>
          <t>60101</t>
        </is>
      </c>
    </row>
    <row r="807">
      <c r="M807" s="3" t="n">
        <v>40126</v>
      </c>
      <c r="N807" t="inlineStr">
        <is>
          <t>NYANGANDE</t>
        </is>
      </c>
      <c r="R807" s="3" t="inlineStr">
        <is>
          <t>60102</t>
        </is>
      </c>
    </row>
    <row r="808">
      <c r="M808" s="3" t="n">
        <v>40127</v>
      </c>
      <c r="N808" t="inlineStr">
        <is>
          <t>NYANGORI</t>
        </is>
      </c>
      <c r="R808" s="3" t="inlineStr">
        <is>
          <t>60103</t>
        </is>
      </c>
    </row>
    <row r="809">
      <c r="M809" s="3" t="n">
        <v>40218</v>
      </c>
      <c r="N809" t="inlineStr">
        <is>
          <t>NYANGUSU</t>
        </is>
      </c>
      <c r="R809" s="3" t="inlineStr">
        <is>
          <t>60104</t>
        </is>
      </c>
    </row>
    <row r="810">
      <c r="M810" s="3" t="n">
        <v>40311</v>
      </c>
      <c r="N810" t="inlineStr">
        <is>
          <t>NYANGWESO</t>
        </is>
      </c>
      <c r="R810" s="3" t="inlineStr">
        <is>
          <t>60105</t>
        </is>
      </c>
    </row>
    <row r="811">
      <c r="M811" s="3" t="n">
        <v>40502</v>
      </c>
      <c r="N811" t="inlineStr">
        <is>
          <t>NYANSIONGO</t>
        </is>
      </c>
      <c r="R811" s="3" t="inlineStr">
        <is>
          <t>60106</t>
        </is>
      </c>
    </row>
    <row r="812">
      <c r="M812" s="3" t="n">
        <v>40219</v>
      </c>
      <c r="N812" t="inlineStr">
        <is>
          <t>NYANTURAGO</t>
        </is>
      </c>
      <c r="R812" s="3" t="inlineStr">
        <is>
          <t>60107</t>
        </is>
      </c>
    </row>
    <row r="813">
      <c r="M813" s="3" t="n">
        <v>40514</v>
      </c>
      <c r="N813" t="inlineStr">
        <is>
          <t>NYARAMBA</t>
        </is>
      </c>
      <c r="R813" s="3" t="inlineStr">
        <is>
          <t>60108</t>
        </is>
      </c>
    </row>
    <row r="814">
      <c r="M814" s="3" t="n">
        <v>30131</v>
      </c>
      <c r="N814" t="inlineStr">
        <is>
          <t>NYARU</t>
        </is>
      </c>
      <c r="R814" s="3" t="inlineStr">
        <is>
          <t>60109</t>
        </is>
      </c>
    </row>
    <row r="815">
      <c r="M815" s="3" t="n">
        <v>40402</v>
      </c>
      <c r="N815" t="inlineStr">
        <is>
          <t>NYATIKE</t>
        </is>
      </c>
      <c r="R815" s="3" t="inlineStr">
        <is>
          <t>60110</t>
        </is>
      </c>
    </row>
    <row r="816">
      <c r="M816" s="3" t="n">
        <v>40633</v>
      </c>
      <c r="N816" t="inlineStr">
        <is>
          <t>NYAWARA</t>
        </is>
      </c>
      <c r="R816" s="3" t="inlineStr">
        <is>
          <t>60111</t>
        </is>
      </c>
    </row>
    <row r="817">
      <c r="M817" s="3" t="inlineStr">
        <is>
          <t>00506</t>
        </is>
      </c>
      <c r="N817" t="inlineStr">
        <is>
          <t>NYAYO STADIUM</t>
        </is>
      </c>
      <c r="R817" s="3" t="inlineStr">
        <is>
          <t>60112</t>
        </is>
      </c>
    </row>
    <row r="818">
      <c r="M818" s="3" t="n">
        <v>10100</v>
      </c>
      <c r="N818" t="inlineStr">
        <is>
          <t>NYERI</t>
        </is>
      </c>
      <c r="R818" s="3" t="inlineStr">
        <is>
          <t>60113</t>
        </is>
      </c>
    </row>
    <row r="819">
      <c r="M819" s="3" t="n">
        <v>40611</v>
      </c>
      <c r="N819" t="inlineStr">
        <is>
          <t>NYILIMA</t>
        </is>
      </c>
      <c r="R819" s="3" t="inlineStr">
        <is>
          <t>60114</t>
        </is>
      </c>
    </row>
    <row r="820">
      <c r="M820" s="3" t="n">
        <v>90136</v>
      </c>
      <c r="N820" t="inlineStr">
        <is>
          <t>NZEEKA</t>
        </is>
      </c>
      <c r="R820" s="3" t="inlineStr">
        <is>
          <t>60115</t>
        </is>
      </c>
    </row>
    <row r="821">
      <c r="M821" s="3" t="n">
        <v>90308</v>
      </c>
      <c r="N821" t="inlineStr">
        <is>
          <t>NZIU</t>
        </is>
      </c>
      <c r="R821" s="3" t="inlineStr">
        <is>
          <t>60116</t>
        </is>
      </c>
    </row>
    <row r="822">
      <c r="M822" s="3" t="n">
        <v>50237</v>
      </c>
      <c r="N822" t="inlineStr">
        <is>
          <t>NZOIA</t>
        </is>
      </c>
      <c r="R822" s="3" t="inlineStr">
        <is>
          <t>60117</t>
        </is>
      </c>
    </row>
    <row r="823">
      <c r="M823" s="3" t="n">
        <v>50427</v>
      </c>
      <c r="N823" t="inlineStr">
        <is>
          <t>OBEKAI</t>
        </is>
      </c>
      <c r="R823" s="3" t="inlineStr">
        <is>
          <t>60118</t>
        </is>
      </c>
    </row>
    <row r="824">
      <c r="M824" s="3" t="n">
        <v>40129</v>
      </c>
      <c r="N824" t="inlineStr">
        <is>
          <t>OBOCH</t>
        </is>
      </c>
      <c r="R824" s="3" t="inlineStr">
        <is>
          <t>60119</t>
        </is>
      </c>
    </row>
    <row r="825">
      <c r="M825" s="3" t="n">
        <v>40204</v>
      </c>
      <c r="N825" t="inlineStr">
        <is>
          <t>OGEMBO</t>
        </is>
      </c>
      <c r="R825" s="3" t="inlineStr">
        <is>
          <t>60120</t>
        </is>
      </c>
    </row>
    <row r="826">
      <c r="M826" s="3" t="n">
        <v>40130</v>
      </c>
      <c r="N826" t="inlineStr">
        <is>
          <t>OGEN</t>
        </is>
      </c>
      <c r="R826" s="3" t="inlineStr">
        <is>
          <t>60200</t>
        </is>
      </c>
    </row>
    <row r="827">
      <c r="M827" s="3" t="n">
        <v>40323</v>
      </c>
      <c r="N827" t="inlineStr">
        <is>
          <t>OGONGO</t>
        </is>
      </c>
      <c r="R827" s="3" t="inlineStr">
        <is>
          <t>60201</t>
        </is>
      </c>
    </row>
    <row r="828">
      <c r="M828" s="3" t="n">
        <v>90301</v>
      </c>
      <c r="N828" t="inlineStr">
        <is>
          <t>OKIA</t>
        </is>
      </c>
      <c r="R828" s="3" t="inlineStr">
        <is>
          <t>60202</t>
        </is>
      </c>
    </row>
    <row r="829">
      <c r="M829" s="3" t="n">
        <v>20302</v>
      </c>
      <c r="N829" t="inlineStr">
        <is>
          <t>OL JORO OROK</t>
        </is>
      </c>
      <c r="R829" s="3" t="inlineStr">
        <is>
          <t>60203</t>
        </is>
      </c>
    </row>
    <row r="830">
      <c r="M830" s="3" t="n">
        <v>20303</v>
      </c>
      <c r="N830" t="inlineStr">
        <is>
          <t>OL KALOU</t>
        </is>
      </c>
      <c r="R830" s="3" t="inlineStr">
        <is>
          <t>60204</t>
        </is>
      </c>
    </row>
    <row r="831">
      <c r="M831" s="3" t="n">
        <v>20229</v>
      </c>
      <c r="N831" t="inlineStr">
        <is>
          <t>OLBUTYO</t>
        </is>
      </c>
      <c r="R831" s="3" t="inlineStr">
        <is>
          <t>60205</t>
        </is>
      </c>
    </row>
    <row r="832">
      <c r="M832" s="3" t="n">
        <v>20152</v>
      </c>
      <c r="N832" t="inlineStr">
        <is>
          <t>OLENGURUONE</t>
        </is>
      </c>
      <c r="R832" s="3" t="inlineStr">
        <is>
          <t>60206</t>
        </is>
      </c>
    </row>
    <row r="833">
      <c r="M833" s="3" t="n">
        <v>20502</v>
      </c>
      <c r="N833" t="inlineStr">
        <is>
          <t>OLKURTO</t>
        </is>
      </c>
      <c r="R833" s="3" t="inlineStr">
        <is>
          <t>60207</t>
        </is>
      </c>
    </row>
    <row r="834">
      <c r="M834" s="3" t="n">
        <v>20503</v>
      </c>
      <c r="N834" t="inlineStr">
        <is>
          <t>OLOLOLUNGA</t>
        </is>
      </c>
      <c r="R834" s="3" t="inlineStr">
        <is>
          <t>60208</t>
        </is>
      </c>
    </row>
    <row r="835">
      <c r="M835" s="3" t="n">
        <v>20507</v>
      </c>
      <c r="N835" t="inlineStr">
        <is>
          <t>OLOOMIRANI</t>
        </is>
      </c>
      <c r="R835" s="3" t="inlineStr">
        <is>
          <t>60209</t>
        </is>
      </c>
    </row>
    <row r="836">
      <c r="M836" s="3" t="inlineStr">
        <is>
          <t>00213</t>
        </is>
      </c>
      <c r="N836" t="inlineStr">
        <is>
          <t>OLTEPESI</t>
        </is>
      </c>
      <c r="R836" s="3" t="inlineStr">
        <is>
          <t>60210</t>
        </is>
      </c>
    </row>
    <row r="837">
      <c r="M837" s="3" t="n">
        <v>40306</v>
      </c>
      <c r="N837" t="inlineStr">
        <is>
          <t>OMBOGA</t>
        </is>
      </c>
      <c r="R837" s="3" t="inlineStr">
        <is>
          <t>60211</t>
        </is>
      </c>
    </row>
    <row r="838">
      <c r="M838" s="3" t="n">
        <v>40221</v>
      </c>
      <c r="N838" t="inlineStr">
        <is>
          <t>OMOGONCHORO</t>
        </is>
      </c>
      <c r="R838" s="3" t="inlineStr">
        <is>
          <t>60212</t>
        </is>
      </c>
    </row>
    <row r="839">
      <c r="M839" s="3" t="inlineStr">
        <is>
          <t>00511</t>
        </is>
      </c>
      <c r="N839" t="inlineStr">
        <is>
          <t>ONGATA RONGAI</t>
        </is>
      </c>
      <c r="R839" s="3" t="inlineStr">
        <is>
          <t>60213</t>
        </is>
      </c>
    </row>
    <row r="840">
      <c r="M840" s="3" t="n">
        <v>40227</v>
      </c>
      <c r="N840" t="inlineStr">
        <is>
          <t>ORIANG</t>
        </is>
      </c>
      <c r="R840" s="3" t="inlineStr">
        <is>
          <t>60214</t>
        </is>
      </c>
    </row>
    <row r="841">
      <c r="M841" s="3" t="n">
        <v>30602</v>
      </c>
      <c r="N841" t="inlineStr">
        <is>
          <t>ORTUM</t>
        </is>
      </c>
      <c r="R841" s="3" t="inlineStr">
        <is>
          <t>60215</t>
        </is>
      </c>
    </row>
    <row r="842">
      <c r="M842" s="3" t="n">
        <v>40324</v>
      </c>
      <c r="N842" t="inlineStr">
        <is>
          <t>OTARO</t>
        </is>
      </c>
      <c r="R842" s="3" t="inlineStr">
        <is>
          <t>60300</t>
        </is>
      </c>
    </row>
    <row r="843">
      <c r="M843" s="3" t="n">
        <v>10106</v>
      </c>
      <c r="N843" t="inlineStr">
        <is>
          <t>OTHAYA</t>
        </is>
      </c>
      <c r="R843" s="3" t="inlineStr">
        <is>
          <t>60301</t>
        </is>
      </c>
    </row>
    <row r="844">
      <c r="M844" s="3" t="n">
        <v>40411</v>
      </c>
      <c r="N844" t="inlineStr">
        <is>
          <t>OTHOCH RAKUOM</t>
        </is>
      </c>
      <c r="R844" s="3" t="inlineStr">
        <is>
          <t>60302</t>
        </is>
      </c>
    </row>
    <row r="845">
      <c r="M845" s="3" t="n">
        <v>40224</v>
      </c>
      <c r="N845" t="inlineStr">
        <is>
          <t>OTHORO</t>
        </is>
      </c>
      <c r="R845" s="3" t="inlineStr">
        <is>
          <t>60400</t>
        </is>
      </c>
    </row>
    <row r="846">
      <c r="M846" s="3" t="n">
        <v>40108</v>
      </c>
      <c r="N846" t="inlineStr">
        <is>
          <t>OTONGLO</t>
        </is>
      </c>
      <c r="R846" s="3" t="inlineStr">
        <is>
          <t>60401</t>
        </is>
      </c>
    </row>
    <row r="847">
      <c r="M847" s="3" t="n">
        <v>40222</v>
      </c>
      <c r="N847" t="inlineStr">
        <is>
          <t>OYUGIS</t>
        </is>
      </c>
      <c r="R847" s="3" t="inlineStr">
        <is>
          <t>60402</t>
        </is>
      </c>
    </row>
    <row r="848">
      <c r="M848" s="3" t="n">
        <v>40329</v>
      </c>
      <c r="N848" t="inlineStr">
        <is>
          <t>PALA</t>
        </is>
      </c>
      <c r="R848" s="3" t="inlineStr">
        <is>
          <t>60403</t>
        </is>
      </c>
    </row>
    <row r="849">
      <c r="M849" s="3" t="n">
        <v>40111</v>
      </c>
      <c r="N849" t="inlineStr">
        <is>
          <t>PAP ONDITI</t>
        </is>
      </c>
      <c r="R849" s="3" t="inlineStr">
        <is>
          <t>60404</t>
        </is>
      </c>
    </row>
    <row r="850">
      <c r="M850" s="3" t="inlineStr">
        <is>
          <t>00623</t>
        </is>
      </c>
      <c r="N850" t="inlineStr">
        <is>
          <t>PARKLANDS</t>
        </is>
      </c>
      <c r="R850" s="3" t="inlineStr">
        <is>
          <t>60405</t>
        </is>
      </c>
    </row>
    <row r="851">
      <c r="M851" s="3" t="n">
        <v>20311</v>
      </c>
      <c r="N851" t="inlineStr">
        <is>
          <t>PASSENGA</t>
        </is>
      </c>
      <c r="R851" s="3" t="inlineStr">
        <is>
          <t>60406</t>
        </is>
      </c>
    </row>
    <row r="852">
      <c r="M852" s="3" t="n">
        <v>40131</v>
      </c>
      <c r="N852" t="inlineStr">
        <is>
          <t>PAW AKUCHE</t>
        </is>
      </c>
      <c r="R852" s="3" t="inlineStr">
        <is>
          <t>60407</t>
        </is>
      </c>
    </row>
    <row r="853">
      <c r="M853" s="3" t="n">
        <v>40113</v>
      </c>
      <c r="N853" t="inlineStr">
        <is>
          <t>PEMBE TATU</t>
        </is>
      </c>
      <c r="R853" s="3" t="inlineStr">
        <is>
          <t>60408</t>
        </is>
      </c>
    </row>
    <row r="854">
      <c r="M854" s="3" t="n">
        <v>30116</v>
      </c>
      <c r="N854" t="inlineStr">
        <is>
          <t>PLATEAU</t>
        </is>
      </c>
      <c r="R854" s="3" t="inlineStr">
        <is>
          <t>60409</t>
        </is>
      </c>
    </row>
    <row r="855">
      <c r="M855" s="3" t="n">
        <v>50410</v>
      </c>
      <c r="N855" t="inlineStr">
        <is>
          <t>PORT VICTORIA</t>
        </is>
      </c>
      <c r="R855" s="3" t="inlineStr">
        <is>
          <t>60500</t>
        </is>
      </c>
    </row>
    <row r="856">
      <c r="M856" s="3" t="inlineStr">
        <is>
          <t>00624</t>
        </is>
      </c>
      <c r="N856" t="inlineStr">
        <is>
          <t>QUARRY ROAD</t>
        </is>
      </c>
      <c r="R856" s="3" t="inlineStr">
        <is>
          <t>60501</t>
        </is>
      </c>
    </row>
    <row r="857">
      <c r="M857" s="3" t="n">
        <v>40132</v>
      </c>
      <c r="N857" t="inlineStr">
        <is>
          <t>RABUOR</t>
        </is>
      </c>
      <c r="R857" s="3" t="inlineStr">
        <is>
          <t>60600</t>
        </is>
      </c>
    </row>
    <row r="858">
      <c r="M858" s="3" t="inlineStr">
        <is>
          <t>00617</t>
        </is>
      </c>
      <c r="N858" t="inlineStr">
        <is>
          <t>RACECOURSE ROAD</t>
        </is>
      </c>
      <c r="R858" s="3" t="inlineStr">
        <is>
          <t>60601</t>
        </is>
      </c>
    </row>
    <row r="859">
      <c r="M859" s="3" t="n">
        <v>40604</v>
      </c>
      <c r="N859" t="inlineStr">
        <is>
          <t>RAGENGNI</t>
        </is>
      </c>
      <c r="R859" s="3" t="inlineStr">
        <is>
          <t>60602</t>
        </is>
      </c>
    </row>
    <row r="860">
      <c r="M860" s="3" t="n">
        <v>40325</v>
      </c>
      <c r="N860" t="inlineStr">
        <is>
          <t>RAKWARO</t>
        </is>
      </c>
      <c r="R860" s="3" t="inlineStr">
        <is>
          <t>60603</t>
        </is>
      </c>
    </row>
    <row r="861">
      <c r="M861" s="3" t="n">
        <v>40330</v>
      </c>
      <c r="N861" t="inlineStr">
        <is>
          <t>RAMBA</t>
        </is>
      </c>
      <c r="R861" s="3" t="inlineStr">
        <is>
          <t>60604</t>
        </is>
      </c>
    </row>
    <row r="862">
      <c r="M862" s="3" t="n">
        <v>40142</v>
      </c>
      <c r="N862" t="inlineStr">
        <is>
          <t>RAMULA</t>
        </is>
      </c>
      <c r="R862" s="3" t="inlineStr">
        <is>
          <t>60605</t>
        </is>
      </c>
    </row>
    <row r="863">
      <c r="M863" s="3" t="n">
        <v>40412</v>
      </c>
      <c r="N863" t="inlineStr">
        <is>
          <t>RANEN</t>
        </is>
      </c>
      <c r="R863" s="3" t="inlineStr">
        <is>
          <t>60606</t>
        </is>
      </c>
    </row>
    <row r="864">
      <c r="M864" s="3" t="n">
        <v>40634</v>
      </c>
      <c r="N864" t="inlineStr">
        <is>
          <t>RANGALA</t>
        </is>
      </c>
      <c r="R864" s="3" t="inlineStr">
        <is>
          <t>60607</t>
        </is>
      </c>
    </row>
    <row r="865">
      <c r="M865" s="3" t="n">
        <v>40303</v>
      </c>
      <c r="N865" t="inlineStr">
        <is>
          <t>RANGWE</t>
        </is>
      </c>
      <c r="R865" s="3" t="inlineStr">
        <is>
          <t>60700</t>
        </is>
      </c>
    </row>
    <row r="866">
      <c r="M866" s="3" t="n">
        <v>40403</v>
      </c>
      <c r="N866" t="inlineStr">
        <is>
          <t>RAPOGI</t>
        </is>
      </c>
      <c r="R866" s="3" t="inlineStr">
        <is>
          <t>60701</t>
        </is>
      </c>
    </row>
    <row r="867">
      <c r="M867" s="3" t="n">
        <v>40137</v>
      </c>
      <c r="N867" t="inlineStr">
        <is>
          <t>RATTA</t>
        </is>
      </c>
      <c r="R867" s="3" t="inlineStr">
        <is>
          <t>70100</t>
        </is>
      </c>
    </row>
    <row r="868">
      <c r="M868" s="3" t="n">
        <v>40133</v>
      </c>
      <c r="N868" t="inlineStr">
        <is>
          <t>RERU</t>
        </is>
      </c>
      <c r="R868" s="3" t="inlineStr">
        <is>
          <t>70101</t>
        </is>
      </c>
    </row>
    <row r="869">
      <c r="M869" s="3" t="n">
        <v>70302</v>
      </c>
      <c r="N869" t="inlineStr">
        <is>
          <t>RHAMU</t>
        </is>
      </c>
      <c r="R869" s="3" t="inlineStr">
        <is>
          <t>70102</t>
        </is>
      </c>
    </row>
    <row r="870">
      <c r="M870" s="3" t="n">
        <v>40511</v>
      </c>
      <c r="N870" t="inlineStr">
        <is>
          <t>RIGOMA</t>
        </is>
      </c>
      <c r="R870" s="3" t="inlineStr">
        <is>
          <t>70103</t>
        </is>
      </c>
    </row>
    <row r="871">
      <c r="M871" s="3" t="n">
        <v>40226</v>
      </c>
      <c r="N871" t="inlineStr">
        <is>
          <t>RINGA</t>
        </is>
      </c>
      <c r="R871" s="3" t="inlineStr">
        <is>
          <t>70104</t>
        </is>
      </c>
    </row>
    <row r="872">
      <c r="M872" s="3" t="n">
        <v>40512</v>
      </c>
      <c r="N872" t="inlineStr">
        <is>
          <t>RIOCHANDA</t>
        </is>
      </c>
      <c r="R872" s="3" t="inlineStr">
        <is>
          <t>70200</t>
        </is>
      </c>
    </row>
    <row r="873">
      <c r="M873" s="3" t="n">
        <v>40220</v>
      </c>
      <c r="N873" t="inlineStr">
        <is>
          <t>RIOSIRI</t>
        </is>
      </c>
      <c r="R873" s="3" t="inlineStr">
        <is>
          <t>70201</t>
        </is>
      </c>
    </row>
    <row r="874">
      <c r="M874" s="3" t="inlineStr">
        <is>
          <t>00512</t>
        </is>
      </c>
      <c r="N874" t="inlineStr">
        <is>
          <t>RIRUTA</t>
        </is>
      </c>
      <c r="R874" s="3" t="inlineStr">
        <is>
          <t>70202</t>
        </is>
      </c>
    </row>
    <row r="875">
      <c r="M875" s="3" t="n">
        <v>40326</v>
      </c>
      <c r="N875" t="inlineStr">
        <is>
          <t>RODI KOPANYI</t>
        </is>
      </c>
      <c r="R875" s="3" t="inlineStr">
        <is>
          <t>70300</t>
        </is>
      </c>
    </row>
    <row r="876">
      <c r="M876" s="3" t="inlineStr">
        <is>
          <t>00300</t>
        </is>
      </c>
      <c r="N876" t="inlineStr">
        <is>
          <t>RONALD NGALA ST</t>
        </is>
      </c>
      <c r="R876" s="3" t="inlineStr">
        <is>
          <t>70301</t>
        </is>
      </c>
    </row>
    <row r="877">
      <c r="M877" s="3" t="n">
        <v>20127</v>
      </c>
      <c r="N877" t="inlineStr">
        <is>
          <t>RONDA</t>
        </is>
      </c>
      <c r="R877" s="3" t="inlineStr">
        <is>
          <t>70302</t>
        </is>
      </c>
    </row>
    <row r="878">
      <c r="M878" s="3" t="n">
        <v>20108</v>
      </c>
      <c r="N878" t="inlineStr">
        <is>
          <t>RONGAI</t>
        </is>
      </c>
      <c r="R878" s="3" t="inlineStr">
        <is>
          <t>80100</t>
        </is>
      </c>
    </row>
    <row r="879">
      <c r="M879" s="3" t="n">
        <v>40404</v>
      </c>
      <c r="N879" t="inlineStr">
        <is>
          <t>RONGO</t>
        </is>
      </c>
      <c r="R879" s="3" t="inlineStr">
        <is>
          <t>80101</t>
        </is>
      </c>
    </row>
    <row r="880">
      <c r="M880" s="3" t="n">
        <v>20204</v>
      </c>
      <c r="N880" t="inlineStr">
        <is>
          <t>RORET</t>
        </is>
      </c>
      <c r="R880" s="3" t="inlineStr">
        <is>
          <t>80102</t>
        </is>
      </c>
    </row>
    <row r="881">
      <c r="M881" s="3" t="inlineStr">
        <is>
          <t>00520</t>
        </is>
      </c>
      <c r="N881" t="inlineStr">
        <is>
          <t>RUAI</t>
        </is>
      </c>
      <c r="R881" s="3" t="inlineStr">
        <is>
          <t>80103</t>
        </is>
      </c>
    </row>
    <row r="882">
      <c r="M882" s="3" t="inlineStr">
        <is>
          <t>00618</t>
        </is>
      </c>
      <c r="N882" t="inlineStr">
        <is>
          <t>RUARAKA</t>
        </is>
      </c>
      <c r="R882" s="3" t="inlineStr">
        <is>
          <t>80104</t>
        </is>
      </c>
    </row>
    <row r="883">
      <c r="M883" s="3" t="inlineStr">
        <is>
          <t>00232</t>
        </is>
      </c>
      <c r="N883" t="inlineStr">
        <is>
          <t>RUIRU</t>
        </is>
      </c>
      <c r="R883" s="3" t="inlineStr">
        <is>
          <t>80105</t>
        </is>
      </c>
    </row>
    <row r="884">
      <c r="M884" s="3" t="n">
        <v>20321</v>
      </c>
      <c r="N884" t="inlineStr">
        <is>
          <t>RUMURUTU</t>
        </is>
      </c>
      <c r="R884" s="3" t="inlineStr">
        <is>
          <t>80106</t>
        </is>
      </c>
    </row>
    <row r="885">
      <c r="M885" s="3" t="n">
        <v>60103</v>
      </c>
      <c r="N885" t="inlineStr">
        <is>
          <t>RUNYENJES</t>
        </is>
      </c>
      <c r="R885" s="3" t="inlineStr">
        <is>
          <t>80107</t>
        </is>
      </c>
    </row>
    <row r="886">
      <c r="M886" s="3" t="n">
        <v>20313</v>
      </c>
      <c r="N886" t="inlineStr">
        <is>
          <t>RURI</t>
        </is>
      </c>
      <c r="R886" s="3" t="inlineStr">
        <is>
          <t>80108</t>
        </is>
      </c>
    </row>
    <row r="887">
      <c r="M887" s="3" t="n">
        <v>10133</v>
      </c>
      <c r="N887" t="inlineStr">
        <is>
          <t>RURINGU</t>
        </is>
      </c>
      <c r="R887" s="3" t="inlineStr">
        <is>
          <t>80109</t>
        </is>
      </c>
    </row>
    <row r="888">
      <c r="M888" s="3" t="n">
        <v>40327</v>
      </c>
      <c r="N888" t="inlineStr">
        <is>
          <t>RUSINGA</t>
        </is>
      </c>
      <c r="R888" s="3" t="inlineStr">
        <is>
          <t>80110</t>
        </is>
      </c>
    </row>
    <row r="889">
      <c r="M889" s="3" t="n">
        <v>10134</v>
      </c>
      <c r="N889" t="inlineStr">
        <is>
          <t>RUTHANGATI</t>
        </is>
      </c>
      <c r="R889" s="3" t="inlineStr">
        <is>
          <t>80111</t>
        </is>
      </c>
    </row>
    <row r="890">
      <c r="M890" s="3" t="n">
        <v>10208</v>
      </c>
      <c r="N890" t="inlineStr">
        <is>
          <t>SABA SABA</t>
        </is>
      </c>
      <c r="R890" s="3" t="inlineStr">
        <is>
          <t>80112</t>
        </is>
      </c>
    </row>
    <row r="891">
      <c r="M891" s="3" t="n">
        <v>20143</v>
      </c>
      <c r="N891" t="inlineStr">
        <is>
          <t>SABATIA</t>
        </is>
      </c>
      <c r="R891" s="3" t="inlineStr">
        <is>
          <t>80113</t>
        </is>
      </c>
    </row>
    <row r="892">
      <c r="M892" s="3" t="n">
        <v>30211</v>
      </c>
      <c r="N892" t="inlineStr">
        <is>
          <t>SABOTI</t>
        </is>
      </c>
      <c r="R892" s="3" t="inlineStr">
        <is>
          <t>80114</t>
        </is>
      </c>
    </row>
    <row r="893">
      <c r="M893" s="3" t="n">
        <v>80308</v>
      </c>
      <c r="N893" t="inlineStr">
        <is>
          <t>SAGALLA</t>
        </is>
      </c>
      <c r="R893" s="3" t="inlineStr">
        <is>
          <t>80115</t>
        </is>
      </c>
    </row>
    <row r="894">
      <c r="M894" s="3" t="n">
        <v>10230</v>
      </c>
      <c r="N894" t="inlineStr">
        <is>
          <t>SAGANA</t>
        </is>
      </c>
      <c r="R894" s="3" t="inlineStr">
        <is>
          <t>80116</t>
        </is>
      </c>
    </row>
    <row r="895">
      <c r="M895" s="3" t="n">
        <v>80120</v>
      </c>
      <c r="N895" t="inlineStr">
        <is>
          <t>SAMBURU</t>
        </is>
      </c>
      <c r="R895" s="3" t="inlineStr">
        <is>
          <t>80117</t>
        </is>
      </c>
    </row>
    <row r="896">
      <c r="M896" s="3" t="n">
        <v>50128</v>
      </c>
      <c r="N896" t="inlineStr">
        <is>
          <t>SAMITSI</t>
        </is>
      </c>
      <c r="R896" s="3" t="inlineStr">
        <is>
          <t>80118</t>
        </is>
      </c>
    </row>
    <row r="897">
      <c r="M897" s="3" t="n">
        <v>40405</v>
      </c>
      <c r="N897" t="inlineStr">
        <is>
          <t>SARE</t>
        </is>
      </c>
      <c r="R897" s="3" t="inlineStr">
        <is>
          <t>80119</t>
        </is>
      </c>
    </row>
    <row r="898">
      <c r="M898" s="3" t="inlineStr">
        <is>
          <t>00606</t>
        </is>
      </c>
      <c r="N898" t="inlineStr">
        <is>
          <t>SARIT CENTRE</t>
        </is>
      </c>
      <c r="R898" s="3" t="inlineStr">
        <is>
          <t>80120</t>
        </is>
      </c>
    </row>
    <row r="899">
      <c r="M899" s="3" t="inlineStr">
        <is>
          <t>00513</t>
        </is>
      </c>
      <c r="N899" t="inlineStr">
        <is>
          <t>SASUMUA ROAD</t>
        </is>
      </c>
      <c r="R899" s="3" t="inlineStr">
        <is>
          <t>80200</t>
        </is>
      </c>
    </row>
    <row r="900">
      <c r="M900" s="3" t="n">
        <v>40612</v>
      </c>
      <c r="N900" t="inlineStr">
        <is>
          <t>SAWAGONGO</t>
        </is>
      </c>
      <c r="R900" s="3" t="inlineStr">
        <is>
          <t>80201</t>
        </is>
      </c>
    </row>
    <row r="901">
      <c r="M901" s="3" t="n">
        <v>40614</v>
      </c>
      <c r="N901" t="inlineStr">
        <is>
          <t>SEGA</t>
        </is>
      </c>
      <c r="R901" s="3" t="inlineStr">
        <is>
          <t>80202</t>
        </is>
      </c>
    </row>
    <row r="902">
      <c r="M902" s="3" t="n">
        <v>50308</v>
      </c>
      <c r="N902" t="inlineStr">
        <is>
          <t>SEREM</t>
        </is>
      </c>
      <c r="R902" s="3" t="inlineStr">
        <is>
          <t>80203</t>
        </is>
      </c>
    </row>
    <row r="903">
      <c r="M903" s="3" t="n">
        <v>30407</v>
      </c>
      <c r="N903" t="inlineStr">
        <is>
          <t>SERETUNIN</t>
        </is>
      </c>
      <c r="R903" s="3" t="inlineStr">
        <is>
          <t>80204</t>
        </is>
      </c>
    </row>
    <row r="904">
      <c r="M904" s="3" t="n">
        <v>20150</v>
      </c>
      <c r="N904" t="inlineStr">
        <is>
          <t>SHABAAB</t>
        </is>
      </c>
      <c r="R904" s="3" t="inlineStr">
        <is>
          <t>80205</t>
        </is>
      </c>
    </row>
    <row r="905">
      <c r="M905" s="3" t="n">
        <v>50106</v>
      </c>
      <c r="N905" t="inlineStr">
        <is>
          <t>SHIANDA</t>
        </is>
      </c>
      <c r="R905" s="3" t="inlineStr">
        <is>
          <t>80206</t>
        </is>
      </c>
    </row>
    <row r="906">
      <c r="M906" s="3" t="n">
        <v>50129</v>
      </c>
      <c r="N906" t="inlineStr">
        <is>
          <t>SHIATSALA</t>
        </is>
      </c>
      <c r="R906" s="3" t="inlineStr">
        <is>
          <t>80207</t>
        </is>
      </c>
    </row>
    <row r="907">
      <c r="M907" s="3" t="n">
        <v>50130</v>
      </c>
      <c r="N907" t="inlineStr">
        <is>
          <t>SHIBULI</t>
        </is>
      </c>
      <c r="R907" s="3" t="inlineStr">
        <is>
          <t>80208</t>
        </is>
      </c>
    </row>
    <row r="908">
      <c r="M908" s="3" t="n">
        <v>50131</v>
      </c>
      <c r="N908" t="inlineStr">
        <is>
          <t>SHIMANYIRO</t>
        </is>
      </c>
      <c r="R908" s="3" t="inlineStr">
        <is>
          <t>80209</t>
        </is>
      </c>
    </row>
    <row r="909">
      <c r="M909" s="3" t="n">
        <v>80407</v>
      </c>
      <c r="N909" t="inlineStr">
        <is>
          <t>SHIMBA HILLS</t>
        </is>
      </c>
      <c r="R909" s="3" t="inlineStr">
        <is>
          <t>80210</t>
        </is>
      </c>
    </row>
    <row r="910">
      <c r="M910" s="3" t="n">
        <v>50107</v>
      </c>
      <c r="N910" t="inlineStr">
        <is>
          <t>SHIYALU</t>
        </is>
      </c>
      <c r="R910" s="3" t="inlineStr">
        <is>
          <t>80211</t>
        </is>
      </c>
    </row>
    <row r="911">
      <c r="M911" s="3" t="n">
        <v>60104</v>
      </c>
      <c r="N911" t="inlineStr">
        <is>
          <t>SIAKAGO</t>
        </is>
      </c>
      <c r="R911" s="3" t="inlineStr">
        <is>
          <t>80300</t>
        </is>
      </c>
    </row>
    <row r="912">
      <c r="M912" s="3" t="n">
        <v>40600</v>
      </c>
      <c r="N912" t="inlineStr">
        <is>
          <t>SIAYA</t>
        </is>
      </c>
      <c r="R912" s="3" t="inlineStr">
        <is>
          <t>80301</t>
        </is>
      </c>
    </row>
    <row r="913">
      <c r="M913" s="3" t="n">
        <v>40605</v>
      </c>
      <c r="N913" t="inlineStr">
        <is>
          <t>SIDINDI</t>
        </is>
      </c>
      <c r="R913" s="3" t="inlineStr">
        <is>
          <t>80302</t>
        </is>
      </c>
    </row>
    <row r="914">
      <c r="M914" s="3" t="n">
        <v>40643</v>
      </c>
      <c r="N914" t="inlineStr">
        <is>
          <t>SIFUYO</t>
        </is>
      </c>
      <c r="R914" s="3" t="inlineStr">
        <is>
          <t>80303</t>
        </is>
      </c>
    </row>
    <row r="915">
      <c r="M915" s="3" t="n">
        <v>40635</v>
      </c>
      <c r="N915" t="inlineStr">
        <is>
          <t>SIGOMRE</t>
        </is>
      </c>
      <c r="R915" s="3" t="inlineStr">
        <is>
          <t>80304</t>
        </is>
      </c>
    </row>
    <row r="916">
      <c r="M916" s="3" t="n">
        <v>20405</v>
      </c>
      <c r="N916" t="inlineStr">
        <is>
          <t>SIGOR</t>
        </is>
      </c>
      <c r="R916" s="3" t="inlineStr">
        <is>
          <t>80305</t>
        </is>
      </c>
    </row>
    <row r="917">
      <c r="M917" s="3" t="n">
        <v>40135</v>
      </c>
      <c r="N917" t="inlineStr">
        <is>
          <t>SIGOTI</t>
        </is>
      </c>
      <c r="R917" s="3" t="inlineStr">
        <is>
          <t>80306</t>
        </is>
      </c>
    </row>
    <row r="918">
      <c r="M918" s="3" t="n">
        <v>20212</v>
      </c>
      <c r="N918" t="inlineStr">
        <is>
          <t>SIGOWET</t>
        </is>
      </c>
      <c r="R918" s="3" t="inlineStr">
        <is>
          <t>80307</t>
        </is>
      </c>
    </row>
    <row r="919">
      <c r="M919" s="3" t="n">
        <v>30217</v>
      </c>
      <c r="N919" t="inlineStr">
        <is>
          <t>SIKINWA</t>
        </is>
      </c>
      <c r="R919" s="3" t="inlineStr">
        <is>
          <t>80308</t>
        </is>
      </c>
    </row>
    <row r="920">
      <c r="M920" s="3" t="n">
        <v>20422</v>
      </c>
      <c r="N920" t="inlineStr">
        <is>
          <t>SILIBWET</t>
        </is>
      </c>
      <c r="R920" s="3" t="inlineStr">
        <is>
          <t>80309</t>
        </is>
      </c>
    </row>
    <row r="921">
      <c r="M921" s="3" t="n">
        <v>30127</v>
      </c>
      <c r="N921" t="inlineStr">
        <is>
          <t>SIMAT</t>
        </is>
      </c>
      <c r="R921" s="3" t="inlineStr">
        <is>
          <t>80310</t>
        </is>
      </c>
    </row>
    <row r="922">
      <c r="M922" s="3" t="n">
        <v>40308</v>
      </c>
      <c r="N922" t="inlineStr">
        <is>
          <t>SINDO</t>
        </is>
      </c>
      <c r="R922" s="3" t="inlineStr">
        <is>
          <t>80311</t>
        </is>
      </c>
    </row>
    <row r="923">
      <c r="M923" s="3" t="n">
        <v>30703</v>
      </c>
      <c r="N923" t="inlineStr">
        <is>
          <t>SINGORE</t>
        </is>
      </c>
      <c r="R923" s="3" t="inlineStr">
        <is>
          <t>80312</t>
        </is>
      </c>
    </row>
    <row r="924">
      <c r="M924" s="3" t="n">
        <v>50401</v>
      </c>
      <c r="N924" t="inlineStr">
        <is>
          <t>SIO PORT</t>
        </is>
      </c>
      <c r="R924" s="3" t="inlineStr">
        <is>
          <t>80313</t>
        </is>
      </c>
    </row>
    <row r="925">
      <c r="M925" s="3" t="n">
        <v>20230</v>
      </c>
      <c r="N925" t="inlineStr">
        <is>
          <t>SIONGIROI</t>
        </is>
      </c>
      <c r="R925" s="3" t="inlineStr">
        <is>
          <t>80314</t>
        </is>
      </c>
    </row>
    <row r="926">
      <c r="M926" s="3" t="n">
        <v>20326</v>
      </c>
      <c r="N926" t="inlineStr">
        <is>
          <t>SIPILI</t>
        </is>
      </c>
      <c r="R926" s="3" t="inlineStr">
        <is>
          <t>80315</t>
        </is>
      </c>
    </row>
    <row r="927">
      <c r="M927" s="3" t="n">
        <v>40636</v>
      </c>
      <c r="N927" t="inlineStr">
        <is>
          <t>SIREMBE</t>
        </is>
      </c>
      <c r="R927" s="3" t="inlineStr">
        <is>
          <t>80316</t>
        </is>
      </c>
    </row>
    <row r="928">
      <c r="M928" s="3" t="n">
        <v>30213</v>
      </c>
      <c r="N928" t="inlineStr">
        <is>
          <t>SIRENDE</t>
        </is>
      </c>
      <c r="R928" s="3" t="inlineStr">
        <is>
          <t>80400</t>
        </is>
      </c>
    </row>
    <row r="929">
      <c r="M929" s="3" t="n">
        <v>50208</v>
      </c>
      <c r="N929" t="inlineStr">
        <is>
          <t>SIRISIA</t>
        </is>
      </c>
      <c r="R929" s="3" t="inlineStr">
        <is>
          <t>80401</t>
        </is>
      </c>
    </row>
    <row r="930">
      <c r="M930" s="3" t="n">
        <v>40642</v>
      </c>
      <c r="N930" t="inlineStr">
        <is>
          <t>SIRONGO</t>
        </is>
      </c>
      <c r="R930" s="3" t="inlineStr">
        <is>
          <t>80402</t>
        </is>
      </c>
    </row>
    <row r="931">
      <c r="M931" s="3" t="n">
        <v>20128</v>
      </c>
      <c r="N931" t="inlineStr">
        <is>
          <t>SOLAI</t>
        </is>
      </c>
      <c r="R931" s="3" t="inlineStr">
        <is>
          <t>80403</t>
        </is>
      </c>
    </row>
    <row r="932">
      <c r="M932" s="3" t="n">
        <v>60701</v>
      </c>
      <c r="N932" t="inlineStr">
        <is>
          <t>SOLO MOYALE</t>
        </is>
      </c>
      <c r="R932" s="3" t="inlineStr">
        <is>
          <t>80404</t>
        </is>
      </c>
    </row>
    <row r="933">
      <c r="M933" s="3" t="n">
        <v>40109</v>
      </c>
      <c r="N933" t="inlineStr">
        <is>
          <t>SONDU</t>
        </is>
      </c>
      <c r="R933" s="3" t="inlineStr">
        <is>
          <t>80405</t>
        </is>
      </c>
    </row>
    <row r="934">
      <c r="M934" s="3" t="n">
        <v>40110</v>
      </c>
      <c r="N934" t="inlineStr">
        <is>
          <t>SONGHOR</t>
        </is>
      </c>
      <c r="R934" s="3" t="inlineStr">
        <is>
          <t>80406</t>
        </is>
      </c>
    </row>
    <row r="935">
      <c r="M935" s="3" t="n">
        <v>20223</v>
      </c>
      <c r="N935" t="inlineStr">
        <is>
          <t>SORGET</t>
        </is>
      </c>
      <c r="R935" s="3" t="inlineStr">
        <is>
          <t>80407</t>
        </is>
      </c>
    </row>
    <row r="936">
      <c r="M936" s="3" t="n">
        <v>20205</v>
      </c>
      <c r="N936" t="inlineStr">
        <is>
          <t>SOSIOT</t>
        </is>
      </c>
      <c r="R936" s="3" t="inlineStr">
        <is>
          <t>80408</t>
        </is>
      </c>
    </row>
    <row r="937">
      <c r="M937" s="3" t="n">
        <v>20406</v>
      </c>
      <c r="N937" t="inlineStr">
        <is>
          <t>SOTIK</t>
        </is>
      </c>
      <c r="R937" s="3" t="inlineStr">
        <is>
          <t>80409</t>
        </is>
      </c>
    </row>
    <row r="938">
      <c r="M938" s="3" t="n">
        <v>20604</v>
      </c>
      <c r="N938" t="inlineStr">
        <is>
          <t>SOUTH HORR</t>
        </is>
      </c>
      <c r="R938" s="3" t="inlineStr">
        <is>
          <t>80500</t>
        </is>
      </c>
    </row>
    <row r="939">
      <c r="M939" s="3" t="n">
        <v>20155</v>
      </c>
      <c r="N939" t="inlineStr">
        <is>
          <t>SOUTH KINANGOP</t>
        </is>
      </c>
      <c r="R939" s="3" t="inlineStr">
        <is>
          <t>80501</t>
        </is>
      </c>
    </row>
    <row r="940">
      <c r="M940" s="3" t="n">
        <v>20319</v>
      </c>
      <c r="N940" t="inlineStr">
        <is>
          <t>SOUTH KINANGOP</t>
        </is>
      </c>
      <c r="R940" s="3" t="inlineStr">
        <is>
          <t>80502</t>
        </is>
      </c>
    </row>
    <row r="941">
      <c r="M941" s="3" t="n">
        <v>30105</v>
      </c>
      <c r="N941" t="inlineStr">
        <is>
          <t>SOY</t>
        </is>
      </c>
      <c r="R941" s="3" t="inlineStr">
        <is>
          <t>80503</t>
        </is>
      </c>
    </row>
    <row r="942">
      <c r="M942" s="3" t="n">
        <v>40418</v>
      </c>
      <c r="N942" t="inlineStr">
        <is>
          <t>SUBA KURIA</t>
        </is>
      </c>
      <c r="R942" s="3" t="inlineStr">
        <is>
          <t>80504</t>
        </is>
      </c>
    </row>
    <row r="943">
      <c r="M943" s="3" t="n">
        <v>20109</v>
      </c>
      <c r="N943" t="inlineStr">
        <is>
          <t>SUBUKIA</t>
        </is>
      </c>
      <c r="R943" s="3" t="inlineStr">
        <is>
          <t>90100</t>
        </is>
      </c>
    </row>
    <row r="944">
      <c r="M944" s="3" t="n">
        <v>20602</v>
      </c>
      <c r="N944" t="inlineStr">
        <is>
          <t>SUGUTA MAR MAR</t>
        </is>
      </c>
      <c r="R944" s="3" t="inlineStr">
        <is>
          <t>90101</t>
        </is>
      </c>
    </row>
    <row r="945">
      <c r="M945" s="3" t="n">
        <v>20151</v>
      </c>
      <c r="N945" t="inlineStr">
        <is>
          <t>SULMAC</t>
        </is>
      </c>
      <c r="R945" s="3" t="inlineStr">
        <is>
          <t>90102</t>
        </is>
      </c>
    </row>
    <row r="946">
      <c r="M946" s="3" t="n">
        <v>90132</v>
      </c>
      <c r="N946" t="inlineStr">
        <is>
          <t>SULTAN HAMUD</t>
        </is>
      </c>
      <c r="R946" s="3" t="inlineStr">
        <is>
          <t>90103</t>
        </is>
      </c>
    </row>
    <row r="947">
      <c r="M947" s="3" t="n">
        <v>40400</v>
      </c>
      <c r="N947" t="inlineStr">
        <is>
          <t>SUNA</t>
        </is>
      </c>
      <c r="R947" s="3" t="inlineStr">
        <is>
          <t>90104</t>
        </is>
      </c>
    </row>
    <row r="948">
      <c r="M948" s="3" t="n">
        <v>30212</v>
      </c>
      <c r="N948" t="inlineStr">
        <is>
          <t>SUWERWA</t>
        </is>
      </c>
      <c r="R948" s="3" t="inlineStr">
        <is>
          <t>90105</t>
        </is>
      </c>
    </row>
    <row r="949">
      <c r="M949" s="3" t="n">
        <v>90409</v>
      </c>
      <c r="N949" t="inlineStr">
        <is>
          <t>SYEIKULU</t>
        </is>
      </c>
      <c r="R949" s="3" t="inlineStr">
        <is>
          <t>90106</t>
        </is>
      </c>
    </row>
    <row r="950">
      <c r="M950" s="3" t="n">
        <v>30220</v>
      </c>
      <c r="N950" t="inlineStr">
        <is>
          <t>TABANI</t>
        </is>
      </c>
      <c r="R950" s="3" t="inlineStr">
        <is>
          <t>90107</t>
        </is>
      </c>
    </row>
    <row r="951">
      <c r="M951" s="3" t="n">
        <v>90131</v>
      </c>
      <c r="N951" t="inlineStr">
        <is>
          <t>TALA</t>
        </is>
      </c>
      <c r="R951" s="3" t="inlineStr">
        <is>
          <t>90108</t>
        </is>
      </c>
    </row>
    <row r="952">
      <c r="M952" s="3" t="n">
        <v>30704</v>
      </c>
      <c r="N952" t="inlineStr">
        <is>
          <t>TAMBACH</t>
        </is>
      </c>
      <c r="R952" s="3" t="inlineStr">
        <is>
          <t>90109</t>
        </is>
      </c>
    </row>
    <row r="953">
      <c r="M953" s="3" t="n">
        <v>80203</v>
      </c>
      <c r="N953" t="inlineStr">
        <is>
          <t>TARASAA</t>
        </is>
      </c>
      <c r="R953" s="3" t="inlineStr">
        <is>
          <t>90110</t>
        </is>
      </c>
    </row>
    <row r="954">
      <c r="M954" s="3" t="n">
        <v>80309</v>
      </c>
      <c r="N954" t="inlineStr">
        <is>
          <t>TAUSA</t>
        </is>
      </c>
      <c r="R954" s="3" t="inlineStr">
        <is>
          <t>90111</t>
        </is>
      </c>
    </row>
    <row r="955">
      <c r="M955" s="3" t="n">
        <v>80302</v>
      </c>
      <c r="N955" t="inlineStr">
        <is>
          <t>TAVETA</t>
        </is>
      </c>
      <c r="R955" s="3" t="inlineStr">
        <is>
          <t>90112</t>
        </is>
      </c>
    </row>
    <row r="956">
      <c r="M956" s="3" t="n">
        <v>90133</v>
      </c>
      <c r="N956" t="inlineStr">
        <is>
          <t>TAWA</t>
        </is>
      </c>
      <c r="R956" s="3" t="inlineStr">
        <is>
          <t>90113</t>
        </is>
      </c>
    </row>
    <row r="957">
      <c r="M957" s="3" t="n">
        <v>30405</v>
      </c>
      <c r="N957" t="inlineStr">
        <is>
          <t>TENGES</t>
        </is>
      </c>
      <c r="R957" s="3" t="inlineStr">
        <is>
          <t>90114</t>
        </is>
      </c>
    </row>
    <row r="958">
      <c r="M958" s="3" t="n">
        <v>10110</v>
      </c>
      <c r="N958" t="inlineStr">
        <is>
          <t>THAARA</t>
        </is>
      </c>
      <c r="R958" s="3" t="inlineStr">
        <is>
          <t>90115</t>
        </is>
      </c>
    </row>
    <row r="959">
      <c r="M959" s="3" t="n">
        <v>10135</v>
      </c>
      <c r="N959" t="inlineStr">
        <is>
          <t>THANGATHI</t>
        </is>
      </c>
      <c r="R959" s="3" t="inlineStr">
        <is>
          <t>90116</t>
        </is>
      </c>
    </row>
    <row r="960">
      <c r="M960" s="3" t="inlineStr">
        <is>
          <t>00210</t>
        </is>
      </c>
      <c r="N960" t="inlineStr">
        <is>
          <t>THIGIO</t>
        </is>
      </c>
      <c r="R960" s="3" t="inlineStr">
        <is>
          <t>90117</t>
        </is>
      </c>
    </row>
    <row r="961">
      <c r="M961" s="3" t="inlineStr">
        <is>
          <t>01000</t>
        </is>
      </c>
      <c r="N961" t="inlineStr">
        <is>
          <t>THIKA</t>
        </is>
      </c>
      <c r="R961" s="3" t="inlineStr">
        <is>
          <t>90118</t>
        </is>
      </c>
    </row>
    <row r="962">
      <c r="M962" s="3" t="n">
        <v>60210</v>
      </c>
      <c r="N962" t="inlineStr">
        <is>
          <t>TIGIJI</t>
        </is>
      </c>
      <c r="R962" s="3" t="inlineStr">
        <is>
          <t>90119</t>
        </is>
      </c>
    </row>
    <row r="963">
      <c r="M963" s="3" t="n">
        <v>10402</v>
      </c>
      <c r="N963" t="inlineStr">
        <is>
          <t>TIMAU</t>
        </is>
      </c>
      <c r="R963" s="3" t="inlineStr">
        <is>
          <t>90120</t>
        </is>
      </c>
    </row>
    <row r="964">
      <c r="M964" s="3" t="n">
        <v>60203</v>
      </c>
      <c r="N964" t="inlineStr">
        <is>
          <t>TIMAU</t>
        </is>
      </c>
      <c r="R964" s="3" t="inlineStr">
        <is>
          <t>90121</t>
        </is>
      </c>
    </row>
    <row r="965">
      <c r="M965" s="3" t="n">
        <v>20110</v>
      </c>
      <c r="N965" t="inlineStr">
        <is>
          <t>TIMBER MILL RD</t>
        </is>
      </c>
      <c r="R965" s="3" t="inlineStr">
        <is>
          <t>90123</t>
        </is>
      </c>
    </row>
    <row r="966">
      <c r="M966" s="3" t="n">
        <v>30108</v>
      </c>
      <c r="N966" t="inlineStr">
        <is>
          <t>TIMBOROA</t>
        </is>
      </c>
      <c r="R966" s="3" t="inlineStr">
        <is>
          <t>90124</t>
        </is>
      </c>
    </row>
    <row r="967">
      <c r="M967" s="3" t="n">
        <v>50309</v>
      </c>
      <c r="N967" t="inlineStr">
        <is>
          <t>TIRIKI</t>
        </is>
      </c>
      <c r="R967" s="3" t="inlineStr">
        <is>
          <t>90125</t>
        </is>
      </c>
    </row>
    <row r="968">
      <c r="M968" s="3" t="inlineStr">
        <is>
          <t>00400</t>
        </is>
      </c>
      <c r="N968" t="inlineStr">
        <is>
          <t>TOM MBOYA ST</t>
        </is>
      </c>
      <c r="R968" s="3" t="inlineStr">
        <is>
          <t>90126</t>
        </is>
      </c>
    </row>
    <row r="969">
      <c r="M969" s="3" t="n">
        <v>40513</v>
      </c>
      <c r="N969" t="inlineStr">
        <is>
          <t>TOMBE</t>
        </is>
      </c>
      <c r="R969" s="3" t="inlineStr">
        <is>
          <t>90127</t>
        </is>
      </c>
    </row>
    <row r="970">
      <c r="M970" s="3" t="n">
        <v>30218</v>
      </c>
      <c r="N970" t="inlineStr">
        <is>
          <t>TONGAREN</t>
        </is>
      </c>
      <c r="R970" s="3" t="inlineStr">
        <is>
          <t>90128</t>
        </is>
      </c>
    </row>
    <row r="971">
      <c r="M971" s="3" t="n">
        <v>20153</v>
      </c>
      <c r="N971" t="inlineStr">
        <is>
          <t>TORONGO</t>
        </is>
      </c>
      <c r="R971" s="3" t="inlineStr">
        <is>
          <t>90129</t>
        </is>
      </c>
    </row>
    <row r="972">
      <c r="M972" s="3" t="n">
        <v>30707</v>
      </c>
      <c r="N972" t="inlineStr">
        <is>
          <t>TOT</t>
        </is>
      </c>
      <c r="R972" s="3" t="inlineStr">
        <is>
          <t>90130</t>
        </is>
      </c>
    </row>
    <row r="973">
      <c r="M973" s="3" t="n">
        <v>90203</v>
      </c>
      <c r="N973" t="inlineStr">
        <is>
          <t>TULIA</t>
        </is>
      </c>
      <c r="R973" s="3" t="inlineStr">
        <is>
          <t>90131</t>
        </is>
      </c>
    </row>
    <row r="974">
      <c r="M974" s="3" t="n">
        <v>10136</v>
      </c>
      <c r="N974" t="inlineStr">
        <is>
          <t>TUMU TUMU</t>
        </is>
      </c>
      <c r="R974" s="3" t="inlineStr">
        <is>
          <t>90132</t>
        </is>
      </c>
    </row>
    <row r="975">
      <c r="M975" s="3" t="n">
        <v>60213</v>
      </c>
      <c r="N975" t="inlineStr">
        <is>
          <t>TUNYAI</t>
        </is>
      </c>
      <c r="R975" s="3" t="inlineStr">
        <is>
          <t>90133</t>
        </is>
      </c>
    </row>
    <row r="976">
      <c r="M976" s="3" t="n">
        <v>30106</v>
      </c>
      <c r="N976" t="inlineStr">
        <is>
          <t>TURBO</t>
        </is>
      </c>
      <c r="R976" s="3" t="inlineStr">
        <is>
          <t>90134</t>
        </is>
      </c>
    </row>
    <row r="977">
      <c r="M977" s="3" t="n">
        <v>20129</v>
      </c>
      <c r="N977" t="inlineStr">
        <is>
          <t>TURI</t>
        </is>
      </c>
      <c r="R977" s="3" t="inlineStr">
        <is>
          <t>90135</t>
        </is>
      </c>
    </row>
    <row r="978">
      <c r="M978" s="3" t="n">
        <v>10137</v>
      </c>
      <c r="N978" t="inlineStr">
        <is>
          <t>UASO NYIRO</t>
        </is>
      </c>
      <c r="R978" s="3" t="inlineStr">
        <is>
          <t>90136</t>
        </is>
      </c>
    </row>
    <row r="979">
      <c r="M979" s="3" t="n">
        <v>40606</v>
      </c>
      <c r="N979" t="inlineStr">
        <is>
          <t>UGUNJA</t>
        </is>
      </c>
      <c r="R979" s="3" t="inlineStr">
        <is>
          <t>90137</t>
        </is>
      </c>
    </row>
    <row r="980">
      <c r="M980" s="3" t="inlineStr">
        <is>
          <t>00516</t>
        </is>
      </c>
      <c r="N980" t="inlineStr">
        <is>
          <t>UHURU GARDENS</t>
        </is>
      </c>
      <c r="R980" s="3" t="inlineStr">
        <is>
          <t>90138</t>
        </is>
      </c>
    </row>
    <row r="981">
      <c r="M981" s="3" t="n">
        <v>80400</v>
      </c>
      <c r="N981" t="inlineStr">
        <is>
          <t>UKUNDA</t>
        </is>
      </c>
      <c r="R981" s="3" t="inlineStr">
        <is>
          <t>90139</t>
        </is>
      </c>
    </row>
    <row r="982">
      <c r="M982" s="3" t="n">
        <v>40607</v>
      </c>
      <c r="N982" t="inlineStr">
        <is>
          <t>UKWALA</t>
        </is>
      </c>
      <c r="R982" s="3" t="inlineStr">
        <is>
          <t>90141</t>
        </is>
      </c>
    </row>
    <row r="983">
      <c r="M983" s="3" t="inlineStr">
        <is>
          <t>00222</t>
        </is>
      </c>
      <c r="N983" t="inlineStr">
        <is>
          <t>UPLANDS</t>
        </is>
      </c>
      <c r="R983" s="3" t="inlineStr">
        <is>
          <t>90142</t>
        </is>
      </c>
    </row>
    <row r="984">
      <c r="M984" s="3" t="n">
        <v>40608</v>
      </c>
      <c r="N984" t="inlineStr">
        <is>
          <t>URANGA</t>
        </is>
      </c>
      <c r="R984" s="3" t="inlineStr">
        <is>
          <t>90200</t>
        </is>
      </c>
    </row>
    <row r="985">
      <c r="M985" s="3" t="n">
        <v>40228</v>
      </c>
      <c r="N985" t="inlineStr">
        <is>
          <t>URIRI</t>
        </is>
      </c>
      <c r="R985" s="3" t="inlineStr">
        <is>
          <t>90201</t>
        </is>
      </c>
    </row>
    <row r="986">
      <c r="M986" s="3" t="n">
        <v>40609</v>
      </c>
      <c r="N986" t="inlineStr">
        <is>
          <t>USENGE</t>
        </is>
      </c>
      <c r="R986" s="3" t="inlineStr">
        <is>
          <t>90202</t>
        </is>
      </c>
    </row>
    <row r="987">
      <c r="M987" s="3" t="n">
        <v>40637</v>
      </c>
      <c r="N987" t="inlineStr">
        <is>
          <t>USIGU</t>
        </is>
      </c>
      <c r="R987" s="3" t="inlineStr">
        <is>
          <t>90203</t>
        </is>
      </c>
    </row>
    <row r="988">
      <c r="M988" s="3" t="inlineStr">
        <is>
          <t>00605</t>
        </is>
      </c>
      <c r="N988" t="inlineStr">
        <is>
          <t>UTHIRU</t>
        </is>
      </c>
      <c r="R988" s="3" t="inlineStr">
        <is>
          <t>90204</t>
        </is>
      </c>
    </row>
    <row r="989">
      <c r="M989" s="3" t="inlineStr">
        <is>
          <t>00514</t>
        </is>
      </c>
      <c r="N989" t="inlineStr">
        <is>
          <t>VALLEY ARCADE</t>
        </is>
      </c>
      <c r="R989" s="3" t="inlineStr">
        <is>
          <t>90205</t>
        </is>
      </c>
    </row>
    <row r="990">
      <c r="M990" s="3" t="n">
        <v>80409</v>
      </c>
      <c r="N990" t="inlineStr">
        <is>
          <t>VANGA</t>
        </is>
      </c>
      <c r="R990" s="3" t="inlineStr">
        <is>
          <t>90206</t>
        </is>
      </c>
    </row>
    <row r="991">
      <c r="M991" s="3" t="n">
        <v>50310</v>
      </c>
      <c r="N991" t="inlineStr">
        <is>
          <t>VIHIGA</t>
        </is>
      </c>
      <c r="R991" s="3" t="inlineStr">
        <is>
          <t>90207</t>
        </is>
      </c>
    </row>
    <row r="992">
      <c r="M992" s="3" t="inlineStr">
        <is>
          <t>00621</t>
        </is>
      </c>
      <c r="N992" t="inlineStr">
        <is>
          <t>VILLAGE MARKET</t>
        </is>
      </c>
      <c r="R992" s="3" t="inlineStr">
        <is>
          <t>90208</t>
        </is>
      </c>
    </row>
    <row r="993">
      <c r="M993" s="3" t="n">
        <v>80119</v>
      </c>
      <c r="N993" t="inlineStr">
        <is>
          <t>VIPINGO</t>
        </is>
      </c>
      <c r="R993" s="3" t="inlineStr">
        <is>
          <t>90209</t>
        </is>
      </c>
    </row>
    <row r="994">
      <c r="M994" s="3" t="n">
        <v>80211</v>
      </c>
      <c r="N994" t="inlineStr">
        <is>
          <t>VITENGENI</t>
        </is>
      </c>
      <c r="R994" s="3" t="inlineStr">
        <is>
          <t>90210</t>
        </is>
      </c>
    </row>
    <row r="995">
      <c r="M995" s="3" t="inlineStr">
        <is>
          <t>00507</t>
        </is>
      </c>
      <c r="N995" t="inlineStr">
        <is>
          <t>VIWANDANI</t>
        </is>
      </c>
      <c r="R995" s="3" t="inlineStr">
        <is>
          <t>90211</t>
        </is>
      </c>
    </row>
    <row r="996">
      <c r="M996" s="3" t="n">
        <v>80300</v>
      </c>
      <c r="N996" t="inlineStr">
        <is>
          <t>VOI</t>
        </is>
      </c>
      <c r="R996" s="3" t="inlineStr">
        <is>
          <t>90212</t>
        </is>
      </c>
    </row>
    <row r="997">
      <c r="M997" s="3" t="n">
        <v>90212</v>
      </c>
      <c r="N997" t="inlineStr">
        <is>
          <t>VOO</t>
        </is>
      </c>
      <c r="R997" s="3" t="inlineStr">
        <is>
          <t>90213</t>
        </is>
      </c>
    </row>
    <row r="998">
      <c r="M998" s="3" t="n">
        <v>40638</v>
      </c>
      <c r="N998" t="inlineStr">
        <is>
          <t>WAGUSU</t>
        </is>
      </c>
      <c r="R998" s="3" t="inlineStr">
        <is>
          <t>90214</t>
        </is>
      </c>
    </row>
    <row r="999">
      <c r="M999" s="3" t="inlineStr">
        <is>
          <t>00613</t>
        </is>
      </c>
      <c r="N999" t="inlineStr">
        <is>
          <t>WAITHAKA</t>
        </is>
      </c>
      <c r="R999" s="3" t="inlineStr">
        <is>
          <t>90215</t>
        </is>
      </c>
    </row>
    <row r="1000">
      <c r="M1000" s="3" t="n">
        <v>70200</v>
      </c>
      <c r="N1000" t="inlineStr">
        <is>
          <t>WAJIR</t>
        </is>
      </c>
      <c r="R1000" s="3" t="inlineStr">
        <is>
          <t>90216</t>
        </is>
      </c>
    </row>
    <row r="1001">
      <c r="M1001" s="3" t="n">
        <v>10138</v>
      </c>
      <c r="N1001" t="inlineStr">
        <is>
          <t>WAMAGANA</t>
        </is>
      </c>
      <c r="R1001" s="3" t="inlineStr">
        <is>
          <t>90217</t>
        </is>
      </c>
    </row>
    <row r="1002">
      <c r="M1002" s="3" t="n">
        <v>20603</v>
      </c>
      <c r="N1002" t="inlineStr">
        <is>
          <t>WAMBA</t>
        </is>
      </c>
      <c r="R1002" s="3" t="inlineStr">
        <is>
          <t>90218</t>
        </is>
      </c>
    </row>
    <row r="1003">
      <c r="M1003" s="3" t="n">
        <v>90103</v>
      </c>
      <c r="N1003" t="inlineStr">
        <is>
          <t>WAMUNYU</t>
        </is>
      </c>
      <c r="R1003" s="3" t="inlineStr">
        <is>
          <t>90219</t>
        </is>
      </c>
    </row>
    <row r="1004">
      <c r="M1004" s="3" t="inlineStr">
        <is>
          <t>01010</t>
        </is>
      </c>
      <c r="N1004" t="inlineStr">
        <is>
          <t>WAMWANGI</t>
        </is>
      </c>
      <c r="R1004" s="3" t="inlineStr">
        <is>
          <t>90300</t>
        </is>
      </c>
    </row>
    <row r="1005">
      <c r="M1005" s="3" t="inlineStr">
        <is>
          <t>00614</t>
        </is>
      </c>
      <c r="N1005" t="inlineStr">
        <is>
          <t>WANGIGE</t>
        </is>
      </c>
      <c r="R1005" s="3" t="inlineStr">
        <is>
          <t>90301</t>
        </is>
      </c>
    </row>
    <row r="1006">
      <c r="M1006" s="3" t="n">
        <v>10303</v>
      </c>
      <c r="N1006" t="inlineStr">
        <is>
          <t>WANGURU</t>
        </is>
      </c>
      <c r="R1006" s="3" t="inlineStr">
        <is>
          <t>90302</t>
        </is>
      </c>
    </row>
    <row r="1007">
      <c r="M1007" s="3" t="n">
        <v>10225</v>
      </c>
      <c r="N1007" t="inlineStr">
        <is>
          <t>WANJENGI</t>
        </is>
      </c>
      <c r="R1007" s="3" t="inlineStr">
        <is>
          <t>90303</t>
        </is>
      </c>
    </row>
    <row r="1008">
      <c r="M1008" s="3" t="n">
        <v>20305</v>
      </c>
      <c r="N1008" t="inlineStr">
        <is>
          <t>WANJOHI</t>
        </is>
      </c>
      <c r="R1008" s="3" t="inlineStr">
        <is>
          <t>90304</t>
        </is>
      </c>
    </row>
    <row r="1009">
      <c r="M1009" s="3" t="n">
        <v>80204</v>
      </c>
      <c r="N1009" t="inlineStr">
        <is>
          <t>WATALII ROAD</t>
        </is>
      </c>
      <c r="R1009" s="3" t="inlineStr">
        <is>
          <t>90305</t>
        </is>
      </c>
    </row>
    <row r="1010">
      <c r="M1010" s="3" t="n">
        <v>80202</v>
      </c>
      <c r="N1010" t="inlineStr">
        <is>
          <t>WATAMU</t>
        </is>
      </c>
      <c r="R1010" s="3" t="inlineStr">
        <is>
          <t>90306</t>
        </is>
      </c>
    </row>
    <row r="1011">
      <c r="M1011" s="3" t="n">
        <v>50205</v>
      </c>
      <c r="N1011" t="inlineStr">
        <is>
          <t>WEBUYE</t>
        </is>
      </c>
      <c r="R1011" s="3" t="inlineStr">
        <is>
          <t>90307</t>
        </is>
      </c>
    </row>
    <row r="1012">
      <c r="M1012" s="3" t="n">
        <v>30603</v>
      </c>
      <c r="N1012" t="inlineStr">
        <is>
          <t>WEIWEI</t>
        </is>
      </c>
      <c r="R1012" s="3" t="inlineStr">
        <is>
          <t>90308</t>
        </is>
      </c>
    </row>
    <row r="1013">
      <c r="M1013" s="3" t="n">
        <v>80303</v>
      </c>
      <c r="N1013" t="inlineStr">
        <is>
          <t>WERUGHA</t>
        </is>
      </c>
      <c r="R1013" s="3" t="inlineStr">
        <is>
          <t>90400</t>
        </is>
      </c>
    </row>
    <row r="1014">
      <c r="M1014" s="3" t="inlineStr">
        <is>
          <t>00800</t>
        </is>
      </c>
      <c r="N1014" t="inlineStr">
        <is>
          <t>WESTLANDS</t>
        </is>
      </c>
      <c r="R1014" s="3" t="inlineStr">
        <is>
          <t>90401</t>
        </is>
      </c>
    </row>
    <row r="1015">
      <c r="M1015" s="3" t="n">
        <v>40141</v>
      </c>
      <c r="N1015" t="inlineStr">
        <is>
          <t>WINAM</t>
        </is>
      </c>
      <c r="R1015" s="3" t="inlineStr">
        <is>
          <t>90402</t>
        </is>
      </c>
    </row>
    <row r="1016">
      <c r="M1016" s="3" t="n">
        <v>80504</v>
      </c>
      <c r="N1016" t="inlineStr">
        <is>
          <t>WITU</t>
        </is>
      </c>
      <c r="R1016" s="3" t="inlineStr">
        <is>
          <t>90403</t>
        </is>
      </c>
    </row>
    <row r="1017">
      <c r="M1017" s="3" t="n">
        <v>50311</v>
      </c>
      <c r="N1017" t="inlineStr">
        <is>
          <t>WODANGA</t>
        </is>
      </c>
      <c r="R1017" s="3" t="inlineStr">
        <is>
          <t>90404</t>
        </is>
      </c>
    </row>
    <row r="1018">
      <c r="M1018" s="3" t="n">
        <v>80304</v>
      </c>
      <c r="N1018" t="inlineStr">
        <is>
          <t>WUNDANYI</t>
        </is>
      </c>
      <c r="R1018" s="3" t="inlineStr">
        <is>
          <t>90405</t>
        </is>
      </c>
    </row>
    <row r="1019">
      <c r="M1019" s="3" t="n">
        <v>40610</v>
      </c>
      <c r="N1019" t="inlineStr">
        <is>
          <t>YALA</t>
        </is>
      </c>
      <c r="R1019" s="3" t="inlineStr">
        <is>
          <t>90406</t>
        </is>
      </c>
    </row>
    <row r="1020" ht="17" customHeight="1" s="486" thickBot="1">
      <c r="M1020" s="3" t="inlineStr">
        <is>
          <t>00508</t>
        </is>
      </c>
      <c r="N1020" t="inlineStr">
        <is>
          <t>YAYA TOWERS</t>
        </is>
      </c>
      <c r="R1020" s="3" t="inlineStr">
        <is>
          <t>90407</t>
        </is>
      </c>
    </row>
    <row r="1021" ht="17" customHeight="1" s="486" thickBot="1">
      <c r="A1021" s="338" t="inlineStr">
        <is>
          <t>Bank Id</t>
        </is>
      </c>
      <c r="B1021" s="339" t="inlineStr">
        <is>
          <t>Bank Name</t>
        </is>
      </c>
      <c r="M1021" s="3" t="n">
        <v>90134</v>
      </c>
      <c r="N1021" t="inlineStr">
        <is>
          <t>YOANI</t>
        </is>
      </c>
      <c r="R1021" s="3" t="inlineStr">
        <is>
          <t>90408</t>
        </is>
      </c>
    </row>
    <row r="1022">
      <c r="A1022" s="337" t="n">
        <v>1024</v>
      </c>
      <c r="B1022" s="335" t="inlineStr">
        <is>
          <t>African Banking Corp. Bank Ltd</t>
        </is>
      </c>
      <c r="C1022" s="342" t="inlineStr">
        <is>
          <t>Bank-BranchMap</t>
        </is>
      </c>
      <c r="D1022" s="348" t="inlineStr">
        <is>
          <t>Branch Id</t>
        </is>
      </c>
      <c r="E1022" s="349" t="inlineStr">
        <is>
          <t>Branch Name</t>
        </is>
      </c>
      <c r="F1022" s="350" t="inlineStr">
        <is>
          <t>Bank - Branch mapping Id</t>
        </is>
      </c>
      <c r="H1022" s="351" t="inlineStr">
        <is>
          <t>BranchMap</t>
        </is>
      </c>
      <c r="M1022" s="3" t="n">
        <v>30214</v>
      </c>
      <c r="N1022" t="inlineStr">
        <is>
          <t>ZIWA</t>
        </is>
      </c>
      <c r="R1022" s="3" t="inlineStr">
        <is>
          <t>90409</t>
        </is>
      </c>
    </row>
    <row r="1023">
      <c r="A1023" s="340" t="n">
        <v>1016</v>
      </c>
      <c r="B1023" s="341" t="inlineStr">
        <is>
          <t>Bank of Africa Kenya Limited</t>
        </is>
      </c>
      <c r="C1023" s="343" t="inlineStr">
        <is>
          <t>Bank1</t>
        </is>
      </c>
      <c r="D1023" s="337" t="inlineStr">
        <is>
          <t>1170</t>
        </is>
      </c>
      <c r="E1023" s="335" t="inlineStr">
        <is>
          <t>BIASHARA STREET</t>
        </is>
      </c>
      <c r="F1023" s="345" t="inlineStr">
        <is>
          <t>1001</t>
        </is>
      </c>
      <c r="H1023" s="352" t="inlineStr">
        <is>
          <t>Branch1</t>
        </is>
      </c>
      <c r="M1023" s="3" t="inlineStr">
        <is>
          <t>90213</t>
        </is>
      </c>
      <c r="N1023" t="inlineStr">
        <is>
          <t>ZOMBE</t>
        </is>
      </c>
      <c r="R1023" s="399" t="n">
        <v>90410</v>
      </c>
    </row>
    <row r="1024">
      <c r="A1024" s="337" t="n">
        <v>1005</v>
      </c>
      <c r="B1024" s="335" t="inlineStr">
        <is>
          <t>Bank of Baroda Kenya Limited</t>
        </is>
      </c>
      <c r="C1024" s="344" t="inlineStr">
        <is>
          <t>Bank2</t>
        </is>
      </c>
      <c r="D1024" s="337" t="inlineStr">
        <is>
          <t>1094</t>
        </is>
      </c>
      <c r="E1024" s="335" t="inlineStr">
        <is>
          <t>Bomet</t>
        </is>
      </c>
      <c r="F1024" s="345" t="inlineStr">
        <is>
          <t>1001</t>
        </is>
      </c>
      <c r="H1024" s="353" t="inlineStr">
        <is>
          <t>Branch2</t>
        </is>
      </c>
    </row>
    <row r="1025">
      <c r="A1025" s="340" t="n">
        <v>1004</v>
      </c>
      <c r="B1025" s="341" t="inlineStr">
        <is>
          <t>Bank of India</t>
        </is>
      </c>
      <c r="C1025" s="343" t="inlineStr">
        <is>
          <t>Bank3</t>
        </is>
      </c>
      <c r="D1025" s="337" t="inlineStr">
        <is>
          <t>1139</t>
        </is>
      </c>
      <c r="E1025" s="335" t="inlineStr">
        <is>
          <t>BONDO</t>
        </is>
      </c>
      <c r="F1025" s="345" t="inlineStr">
        <is>
          <t>1001</t>
        </is>
      </c>
      <c r="H1025" s="352" t="inlineStr">
        <is>
          <t>Branch3</t>
        </is>
      </c>
    </row>
    <row r="1026">
      <c r="A1026" s="337" t="n">
        <v>1003</v>
      </c>
      <c r="B1026" s="335" t="inlineStr">
        <is>
          <t>ABSA Bank Kenya PLC.</t>
        </is>
      </c>
      <c r="C1026" s="344" t="inlineStr">
        <is>
          <t>Bank4</t>
        </is>
      </c>
      <c r="D1026" s="337" t="inlineStr">
        <is>
          <t>1109</t>
        </is>
      </c>
      <c r="E1026" s="335" t="inlineStr">
        <is>
          <t>Bungoma</t>
        </is>
      </c>
      <c r="F1026" s="345" t="inlineStr">
        <is>
          <t>1001</t>
        </is>
      </c>
      <c r="H1026" s="353" t="inlineStr">
        <is>
          <t>Branch4</t>
        </is>
      </c>
    </row>
    <row r="1027">
      <c r="A1027" s="340" t="n">
        <v>1008</v>
      </c>
      <c r="B1027" s="341" t="inlineStr">
        <is>
          <t>Central Bank of Kenya</t>
        </is>
      </c>
      <c r="C1027" s="343" t="inlineStr">
        <is>
          <t>Bank5</t>
        </is>
      </c>
      <c r="D1027" s="337" t="inlineStr">
        <is>
          <t>1116</t>
        </is>
      </c>
      <c r="E1027" s="335" t="inlineStr">
        <is>
          <t>Buruburu</t>
        </is>
      </c>
      <c r="F1027" s="345" t="inlineStr">
        <is>
          <t>1001</t>
        </is>
      </c>
      <c r="H1027" s="352" t="inlineStr">
        <is>
          <t>Branch5</t>
        </is>
      </c>
    </row>
    <row r="1028">
      <c r="A1028" s="337" t="n">
        <v>1023</v>
      </c>
      <c r="B1028" s="335" t="inlineStr">
        <is>
          <t>CFC Stanbic Bank Kenya Limited</t>
        </is>
      </c>
      <c r="C1028" s="344" t="inlineStr">
        <is>
          <t>Bank6</t>
        </is>
      </c>
      <c r="D1028" s="337" t="inlineStr">
        <is>
          <t>1907</t>
        </is>
      </c>
      <c r="E1028" s="335" t="inlineStr">
        <is>
          <t>Busia</t>
        </is>
      </c>
      <c r="F1028" s="345" t="inlineStr">
        <is>
          <t>1001</t>
        </is>
      </c>
      <c r="H1028" s="353" t="inlineStr">
        <is>
          <t>Branch6</t>
        </is>
      </c>
    </row>
    <row r="1029">
      <c r="A1029" s="340" t="n">
        <v>1021</v>
      </c>
      <c r="B1029" s="341" t="inlineStr">
        <is>
          <t>Chase Bank Limited</t>
        </is>
      </c>
      <c r="C1029" s="343" t="inlineStr">
        <is>
          <t>Bank7</t>
        </is>
      </c>
      <c r="D1029" s="337" t="inlineStr">
        <is>
          <t>1112</t>
        </is>
      </c>
      <c r="E1029" s="335" t="inlineStr">
        <is>
          <t>Capital Hill</t>
        </is>
      </c>
      <c r="F1029" s="345" t="inlineStr">
        <is>
          <t>1001</t>
        </is>
      </c>
      <c r="H1029" s="352" t="inlineStr">
        <is>
          <t>Branch7</t>
        </is>
      </c>
    </row>
    <row r="1030">
      <c r="A1030" s="337" t="n">
        <v>1013</v>
      </c>
      <c r="B1030" s="335" t="inlineStr">
        <is>
          <t>Citibank N.A.</t>
        </is>
      </c>
      <c r="C1030" s="344" t="inlineStr">
        <is>
          <t>Bank8</t>
        </is>
      </c>
      <c r="D1030" s="337" t="inlineStr">
        <is>
          <t>1053</t>
        </is>
      </c>
      <c r="E1030" s="335" t="inlineStr">
        <is>
          <t>Card Centre</t>
        </is>
      </c>
      <c r="F1030" s="345" t="inlineStr">
        <is>
          <t>1001</t>
        </is>
      </c>
      <c r="H1030" s="353" t="inlineStr">
        <is>
          <t>Branch8</t>
        </is>
      </c>
    </row>
    <row r="1031">
      <c r="A1031" s="340" t="n">
        <v>1006</v>
      </c>
      <c r="B1031" s="341" t="inlineStr">
        <is>
          <t>Commercial Bank of Africa Limited</t>
        </is>
      </c>
      <c r="C1031" s="343" t="inlineStr">
        <is>
          <t>Bank9</t>
        </is>
      </c>
      <c r="D1031" s="337" t="inlineStr">
        <is>
          <t>1117</t>
        </is>
      </c>
      <c r="E1031" s="335" t="inlineStr">
        <is>
          <t>CHOGORIA</t>
        </is>
      </c>
      <c r="F1031" s="345" t="inlineStr">
        <is>
          <t>1001</t>
        </is>
      </c>
      <c r="H1031" s="352" t="inlineStr">
        <is>
          <t>Branch9</t>
        </is>
      </c>
    </row>
    <row r="1032">
      <c r="A1032" s="337" t="n">
        <v>1018</v>
      </c>
      <c r="B1032" s="335" t="inlineStr">
        <is>
          <t>Consolidated Bank of Kenya Limited</t>
        </is>
      </c>
      <c r="C1032" s="344" t="inlineStr">
        <is>
          <t>Bank10</t>
        </is>
      </c>
      <c r="D1032" s="337" t="inlineStr">
        <is>
          <t>1108</t>
        </is>
      </c>
      <c r="E1032" s="335" t="inlineStr">
        <is>
          <t>Chuka</t>
        </is>
      </c>
      <c r="F1032" s="345" t="inlineStr">
        <is>
          <t>1001</t>
        </is>
      </c>
      <c r="H1032" s="353" t="inlineStr">
        <is>
          <t>Branch10</t>
        </is>
      </c>
    </row>
    <row r="1033">
      <c r="A1033" s="340" t="n">
        <v>1010</v>
      </c>
      <c r="B1033" s="341" t="inlineStr">
        <is>
          <t>Co-operative Bank of Kenya Limited</t>
        </is>
      </c>
      <c r="C1033" s="343" t="inlineStr">
        <is>
          <t>Bank11</t>
        </is>
      </c>
      <c r="D1033" s="337" t="inlineStr">
        <is>
          <t>1186</t>
        </is>
      </c>
      <c r="E1033" s="335" t="inlineStr">
        <is>
          <t>CPC BULK CORPORATE CHEQUES</t>
        </is>
      </c>
      <c r="F1033" s="345" t="inlineStr">
        <is>
          <t>1001</t>
        </is>
      </c>
      <c r="H1033" s="352" t="inlineStr">
        <is>
          <t>Branch11</t>
        </is>
      </c>
    </row>
    <row r="1034">
      <c r="A1034" s="337" t="n">
        <v>1019</v>
      </c>
      <c r="B1034" s="335" t="inlineStr">
        <is>
          <t>Credit Bank Limited</t>
        </is>
      </c>
      <c r="C1034" s="344" t="inlineStr">
        <is>
          <t>Bank12</t>
        </is>
      </c>
      <c r="D1034" s="337" t="inlineStr">
        <is>
          <t>1913</t>
        </is>
      </c>
      <c r="E1034" s="335" t="inlineStr">
        <is>
          <t>Diaspora</t>
        </is>
      </c>
      <c r="F1034" s="345" t="inlineStr">
        <is>
          <t>1001</t>
        </is>
      </c>
      <c r="H1034" s="353" t="inlineStr">
        <is>
          <t>Branch12</t>
        </is>
      </c>
    </row>
    <row r="1035">
      <c r="A1035" s="340" t="n">
        <v>1037</v>
      </c>
      <c r="B1035" s="341" t="inlineStr">
        <is>
          <t>Development Bank of Kenya Limited</t>
        </is>
      </c>
      <c r="C1035" s="343" t="inlineStr">
        <is>
          <t>Bank13</t>
        </is>
      </c>
      <c r="D1035" s="337" t="inlineStr">
        <is>
          <t>1006</t>
        </is>
      </c>
      <c r="E1035" s="335" t="inlineStr">
        <is>
          <t>Eastleigh</t>
        </is>
      </c>
      <c r="F1035" s="345" t="inlineStr">
        <is>
          <t>1001</t>
        </is>
      </c>
      <c r="H1035" s="352" t="inlineStr">
        <is>
          <t>Branch13</t>
        </is>
      </c>
    </row>
    <row r="1036">
      <c r="A1036" s="337" t="n">
        <v>1039</v>
      </c>
      <c r="B1036" s="335" t="inlineStr">
        <is>
          <t>Diamond Trust Bank Limited</t>
        </is>
      </c>
      <c r="C1036" s="344" t="inlineStr">
        <is>
          <t>Bank14</t>
        </is>
      </c>
      <c r="D1036" s="337" t="inlineStr">
        <is>
          <t>1161</t>
        </is>
      </c>
      <c r="E1036" s="335" t="inlineStr">
        <is>
          <t>EGERTON UNIVERSITY</t>
        </is>
      </c>
      <c r="F1036" s="345" t="inlineStr">
        <is>
          <t>1001</t>
        </is>
      </c>
      <c r="H1036" s="353" t="inlineStr">
        <is>
          <t>Branch14</t>
        </is>
      </c>
    </row>
    <row r="1037">
      <c r="A1037" s="340" t="n">
        <v>1017</v>
      </c>
      <c r="B1037" s="341" t="inlineStr">
        <is>
          <t>Dubai Bank Kenya Limited</t>
        </is>
      </c>
      <c r="C1037" s="343" t="inlineStr">
        <is>
          <t>Bank15</t>
        </is>
      </c>
      <c r="D1037" s="337" t="inlineStr">
        <is>
          <t>1077</t>
        </is>
      </c>
      <c r="E1037" s="335" t="inlineStr">
        <is>
          <t>ELDAMA RAVINE</t>
        </is>
      </c>
      <c r="F1037" s="345" t="inlineStr">
        <is>
          <t>1001</t>
        </is>
      </c>
      <c r="H1037" s="352" t="inlineStr">
        <is>
          <t>Branch15</t>
        </is>
      </c>
    </row>
    <row r="1038">
      <c r="A1038" s="337" t="n">
        <v>1028</v>
      </c>
      <c r="B1038" s="335" t="inlineStr">
        <is>
          <t>ECO Bank Limited</t>
        </is>
      </c>
      <c r="C1038" s="344" t="inlineStr">
        <is>
          <t>Bank16</t>
        </is>
      </c>
      <c r="D1038" s="337" t="inlineStr">
        <is>
          <t>1024</t>
        </is>
      </c>
      <c r="E1038" s="335" t="inlineStr">
        <is>
          <t>Eldoret</t>
        </is>
      </c>
      <c r="F1038" s="345" t="inlineStr">
        <is>
          <t>1001</t>
        </is>
      </c>
      <c r="H1038" s="353" t="inlineStr">
        <is>
          <t>Branch16</t>
        </is>
      </c>
    </row>
    <row r="1039">
      <c r="A1039" s="340" t="n">
        <v>1029</v>
      </c>
      <c r="B1039" s="341" t="inlineStr">
        <is>
          <t>Equatorial Commercial Bank Limited</t>
        </is>
      </c>
      <c r="C1039" s="343" t="inlineStr">
        <is>
          <t>Bank17</t>
        </is>
      </c>
      <c r="D1039" s="337" t="inlineStr">
        <is>
          <t>1126</t>
        </is>
      </c>
      <c r="E1039" s="335" t="inlineStr">
        <is>
          <t>EMALI</t>
        </is>
      </c>
      <c r="F1039" s="345" t="inlineStr">
        <is>
          <t>1001</t>
        </is>
      </c>
      <c r="H1039" s="352" t="inlineStr">
        <is>
          <t>Branch17</t>
        </is>
      </c>
    </row>
    <row r="1040">
      <c r="A1040" s="337" t="n">
        <v>1041</v>
      </c>
      <c r="B1040" s="335" t="inlineStr">
        <is>
          <t>Equity Bank Limited</t>
        </is>
      </c>
      <c r="C1040" s="344" t="inlineStr">
        <is>
          <t>Bank18</t>
        </is>
      </c>
      <c r="D1040" s="337" t="inlineStr">
        <is>
          <t>1031</t>
        </is>
      </c>
      <c r="E1040" s="335" t="inlineStr">
        <is>
          <t>Embu</t>
        </is>
      </c>
      <c r="F1040" s="345" t="inlineStr">
        <is>
          <t>1001</t>
        </is>
      </c>
      <c r="H1040" s="353" t="inlineStr">
        <is>
          <t>Branch18</t>
        </is>
      </c>
    </row>
    <row r="1041">
      <c r="A1041" s="340" t="n">
        <v>1042</v>
      </c>
      <c r="B1041" s="341" t="inlineStr">
        <is>
          <t>Family Bank Ltd</t>
        </is>
      </c>
      <c r="C1041" s="343" t="inlineStr">
        <is>
          <t>Bank19</t>
        </is>
      </c>
      <c r="D1041" s="337" t="inlineStr">
        <is>
          <t>1184</t>
        </is>
      </c>
      <c r="E1041" s="335" t="inlineStr">
        <is>
          <t>GARDEN PLAZA</t>
        </is>
      </c>
      <c r="F1041" s="345" t="inlineStr">
        <is>
          <t>1001</t>
        </is>
      </c>
      <c r="H1041" s="352" t="inlineStr">
        <is>
          <t>Branch19</t>
        </is>
      </c>
    </row>
    <row r="1042">
      <c r="A1042" s="337" t="n">
        <v>1038</v>
      </c>
      <c r="B1042" s="335" t="inlineStr">
        <is>
          <t>Fidelity Commercial Bank Limited</t>
        </is>
      </c>
      <c r="C1042" s="344" t="inlineStr">
        <is>
          <t>Bank20</t>
        </is>
      </c>
      <c r="D1042" s="337" t="inlineStr">
        <is>
          <t>1082</t>
        </is>
      </c>
      <c r="E1042" s="335" t="inlineStr">
        <is>
          <t>Garissa</t>
        </is>
      </c>
      <c r="F1042" s="345" t="inlineStr">
        <is>
          <t>1001</t>
        </is>
      </c>
      <c r="H1042" s="353" t="inlineStr">
        <is>
          <t>Branch20</t>
        </is>
      </c>
    </row>
    <row r="1043">
      <c r="A1043" s="340" t="n">
        <v>1032</v>
      </c>
      <c r="B1043" s="341" t="inlineStr">
        <is>
          <t>Fina Bank Limited</t>
        </is>
      </c>
      <c r="C1043" s="343" t="inlineStr">
        <is>
          <t>Bank21</t>
        </is>
      </c>
      <c r="D1043" s="337" t="inlineStr">
        <is>
          <t>1137</t>
        </is>
      </c>
      <c r="E1043" s="335" t="inlineStr">
        <is>
          <t>GARSEN</t>
        </is>
      </c>
      <c r="F1043" s="345" t="inlineStr">
        <is>
          <t>1001</t>
        </is>
      </c>
      <c r="H1043" s="352" t="inlineStr">
        <is>
          <t>Branch21</t>
        </is>
      </c>
    </row>
    <row r="1044">
      <c r="A1044" s="337" t="n">
        <v>1044</v>
      </c>
      <c r="B1044" s="335" t="inlineStr">
        <is>
          <t>First Community Bank</t>
        </is>
      </c>
      <c r="C1044" s="344" t="inlineStr">
        <is>
          <t>Bank22</t>
        </is>
      </c>
      <c r="D1044" s="337" t="inlineStr">
        <is>
          <t>1115</t>
        </is>
      </c>
      <c r="E1044" s="335" t="inlineStr">
        <is>
          <t>Gateway Msa Road</t>
        </is>
      </c>
      <c r="F1044" s="345" t="inlineStr">
        <is>
          <t>1001</t>
        </is>
      </c>
      <c r="H1044" s="353" t="inlineStr">
        <is>
          <t>Branch22</t>
        </is>
      </c>
    </row>
    <row r="1045">
      <c r="A1045" s="340" t="n">
        <v>1027</v>
      </c>
      <c r="B1045" s="341" t="inlineStr">
        <is>
          <t>Giro Commercial Bank Limited</t>
        </is>
      </c>
      <c r="C1045" s="343" t="inlineStr">
        <is>
          <t>Bank23</t>
        </is>
      </c>
      <c r="D1045" s="337" t="inlineStr">
        <is>
          <t>1125</t>
        </is>
      </c>
      <c r="E1045" s="335" t="inlineStr">
        <is>
          <t>GATUNDU</t>
        </is>
      </c>
      <c r="F1045" s="345" t="inlineStr">
        <is>
          <t>1001</t>
        </is>
      </c>
      <c r="H1045" s="352" t="inlineStr">
        <is>
          <t>Branch23</t>
        </is>
      </c>
    </row>
    <row r="1046">
      <c r="A1046" s="337" t="n">
        <v>1034</v>
      </c>
      <c r="B1046" s="335" t="inlineStr">
        <is>
          <t>Guardian Bank Limited</t>
        </is>
      </c>
      <c r="C1046" s="344" t="inlineStr">
        <is>
          <t>Bank24</t>
        </is>
      </c>
      <c r="D1046" s="337" t="inlineStr">
        <is>
          <t>1166</t>
        </is>
      </c>
      <c r="E1046" s="335" t="inlineStr">
        <is>
          <t>GIKOMBA</t>
        </is>
      </c>
      <c r="F1046" s="345" t="inlineStr">
        <is>
          <t>1001</t>
        </is>
      </c>
      <c r="H1046" s="353" t="inlineStr">
        <is>
          <t>Branch24</t>
        </is>
      </c>
    </row>
    <row r="1047">
      <c r="A1047" s="340" t="n">
        <v>1043</v>
      </c>
      <c r="B1047" s="341" t="inlineStr">
        <is>
          <t>Gulf African Bank Ltd</t>
        </is>
      </c>
      <c r="C1047" s="343" t="inlineStr">
        <is>
          <t>Bank25</t>
        </is>
      </c>
      <c r="D1047" s="337" t="inlineStr">
        <is>
          <t>1073</t>
        </is>
      </c>
      <c r="E1047" s="335" t="inlineStr">
        <is>
          <t>Gilgil</t>
        </is>
      </c>
      <c r="F1047" s="345" t="inlineStr">
        <is>
          <t>1001</t>
        </is>
      </c>
      <c r="H1047" s="352" t="inlineStr">
        <is>
          <t>Branch25</t>
        </is>
      </c>
    </row>
    <row r="1048">
      <c r="A1048" s="337" t="n">
        <v>1014</v>
      </c>
      <c r="B1048" s="335" t="inlineStr">
        <is>
          <t>Habib Bank A.G. Zurich</t>
        </is>
      </c>
      <c r="C1048" s="344" t="inlineStr">
        <is>
          <t>Bank26</t>
        </is>
      </c>
      <c r="D1048" s="337" t="inlineStr">
        <is>
          <t>1105</t>
        </is>
      </c>
      <c r="E1048" s="335" t="inlineStr">
        <is>
          <t>GITHUNGURI</t>
        </is>
      </c>
      <c r="F1048" s="345" t="inlineStr">
        <is>
          <t>1001</t>
        </is>
      </c>
      <c r="H1048" s="353" t="inlineStr">
        <is>
          <t>Branch26</t>
        </is>
      </c>
    </row>
    <row r="1049">
      <c r="A1049" s="340" t="n">
        <v>1007</v>
      </c>
      <c r="B1049" s="341" t="inlineStr">
        <is>
          <t>Habib Bank Limited</t>
        </is>
      </c>
      <c r="C1049" s="343" t="inlineStr">
        <is>
          <t>Bank27</t>
        </is>
      </c>
      <c r="D1049" s="337" t="inlineStr">
        <is>
          <t>1182</t>
        </is>
      </c>
      <c r="E1049" s="335" t="inlineStr">
        <is>
          <t>HAILE SELASSIE</t>
        </is>
      </c>
      <c r="F1049" s="345" t="inlineStr">
        <is>
          <t>1001</t>
        </is>
      </c>
      <c r="H1049" s="352" t="inlineStr">
        <is>
          <t>Branch27</t>
        </is>
      </c>
    </row>
    <row r="1050">
      <c r="A1050" s="337" t="n">
        <v>1050</v>
      </c>
      <c r="B1050" s="335" t="inlineStr">
        <is>
          <t>Housing Finance Bank</t>
        </is>
      </c>
      <c r="C1050" s="344" t="inlineStr">
        <is>
          <t>Bank28</t>
        </is>
      </c>
      <c r="D1050" s="337" t="inlineStr">
        <is>
          <t>1009</t>
        </is>
      </c>
      <c r="E1050" s="335" t="inlineStr">
        <is>
          <t>Head Office</t>
        </is>
      </c>
      <c r="F1050" s="345" t="inlineStr">
        <is>
          <t>1001</t>
        </is>
      </c>
      <c r="H1050" s="353" t="inlineStr">
        <is>
          <t>Branch28</t>
        </is>
      </c>
    </row>
    <row r="1051">
      <c r="A1051" s="340" t="n">
        <v>1025</v>
      </c>
      <c r="B1051" s="341" t="inlineStr">
        <is>
          <t>Imperial Bank Limited</t>
        </is>
      </c>
      <c r="C1051" s="343" t="inlineStr">
        <is>
          <t>Bank29</t>
        </is>
      </c>
      <c r="D1051" s="337" t="inlineStr">
        <is>
          <t>1011</t>
        </is>
      </c>
      <c r="E1051" s="335" t="inlineStr">
        <is>
          <t>Head Office Finance</t>
        </is>
      </c>
      <c r="F1051" s="345" t="inlineStr">
        <is>
          <t>1001</t>
        </is>
      </c>
      <c r="H1051" s="352" t="inlineStr">
        <is>
          <t>Branch29</t>
        </is>
      </c>
    </row>
    <row r="1052">
      <c r="A1052" s="337" t="n">
        <v>1035</v>
      </c>
      <c r="B1052" s="335" t="inlineStr">
        <is>
          <t>Investments &amp; Mortgages Bank Limited</t>
        </is>
      </c>
      <c r="C1052" s="344" t="inlineStr">
        <is>
          <t>Bank30</t>
        </is>
      </c>
      <c r="D1052" s="337" t="inlineStr">
        <is>
          <t>1060</t>
        </is>
      </c>
      <c r="E1052" s="335" t="inlineStr">
        <is>
          <t>Hola</t>
        </is>
      </c>
      <c r="F1052" s="345" t="inlineStr">
        <is>
          <t>1001</t>
        </is>
      </c>
      <c r="H1052" s="353" t="inlineStr">
        <is>
          <t>Branch30</t>
        </is>
      </c>
    </row>
    <row r="1053">
      <c r="A1053" s="340" t="n">
        <v>1051</v>
      </c>
      <c r="B1053" s="341" t="inlineStr">
        <is>
          <t>Jamii Bora Bank</t>
        </is>
      </c>
      <c r="C1053" s="343" t="inlineStr">
        <is>
          <t>Bank31</t>
        </is>
      </c>
      <c r="D1053" s="337" t="inlineStr">
        <is>
          <t>2486</t>
        </is>
      </c>
      <c r="E1053" s="335" t="inlineStr">
        <is>
          <t>Homa Bay</t>
        </is>
      </c>
      <c r="F1053" s="345" t="inlineStr">
        <is>
          <t>1001</t>
        </is>
      </c>
      <c r="H1053" s="352" t="inlineStr">
        <is>
          <t>Branch31</t>
        </is>
      </c>
    </row>
    <row r="1054">
      <c r="A1054" s="337" t="n">
        <v>1001</v>
      </c>
      <c r="B1054" s="335" t="inlineStr">
        <is>
          <t>Kenya Commercial Bank Limited</t>
        </is>
      </c>
      <c r="C1054" s="344" t="inlineStr">
        <is>
          <t>Bank32</t>
        </is>
      </c>
      <c r="D1054" s="337" t="inlineStr">
        <is>
          <t>1028</t>
        </is>
      </c>
      <c r="E1054" s="335" t="inlineStr">
        <is>
          <t>Industrial Area Nairobi</t>
        </is>
      </c>
      <c r="F1054" s="345" t="inlineStr">
        <is>
          <t>1001</t>
        </is>
      </c>
      <c r="H1054" s="353" t="inlineStr">
        <is>
          <t>Branch32</t>
        </is>
      </c>
    </row>
    <row r="1055">
      <c r="A1055" s="340" t="n">
        <v>1052</v>
      </c>
      <c r="B1055" s="341" t="inlineStr">
        <is>
          <t>KENYA POST OFFICE SAVINGS BANK</t>
        </is>
      </c>
      <c r="C1055" s="343" t="inlineStr">
        <is>
          <t>Bank33</t>
        </is>
      </c>
      <c r="D1055" s="337" t="inlineStr">
        <is>
          <t>2490</t>
        </is>
      </c>
      <c r="E1055" s="335" t="inlineStr">
        <is>
          <t>Isibania</t>
        </is>
      </c>
      <c r="F1055" s="345" t="inlineStr">
        <is>
          <t>1001</t>
        </is>
      </c>
      <c r="H1055" s="352" t="inlineStr">
        <is>
          <t>Branch33</t>
        </is>
      </c>
    </row>
    <row r="1056">
      <c r="A1056" s="337" t="n">
        <v>1040</v>
      </c>
      <c r="B1056" s="335" t="inlineStr">
        <is>
          <t>K-Rep Bank Limited</t>
        </is>
      </c>
      <c r="C1056" s="344" t="inlineStr">
        <is>
          <t>Bank34</t>
        </is>
      </c>
      <c r="D1056" s="337" t="inlineStr">
        <is>
          <t>1127</t>
        </is>
      </c>
      <c r="E1056" s="335" t="inlineStr">
        <is>
          <t>ISIOLO</t>
        </is>
      </c>
      <c r="F1056" s="345" t="inlineStr">
        <is>
          <t>1001</t>
        </is>
      </c>
      <c r="H1056" s="353" t="inlineStr">
        <is>
          <t>Branch34</t>
        </is>
      </c>
    </row>
    <row r="1057">
      <c r="A1057" s="340" t="n">
        <v>1015</v>
      </c>
      <c r="B1057" s="341" t="inlineStr">
        <is>
          <t>Middle East Bank Kenya Limited</t>
        </is>
      </c>
      <c r="C1057" s="343" t="inlineStr">
        <is>
          <t>Bank35</t>
        </is>
      </c>
      <c r="D1057" s="337" t="inlineStr">
        <is>
          <t>1072</t>
        </is>
      </c>
      <c r="E1057" s="335" t="inlineStr">
        <is>
          <t>Iten</t>
        </is>
      </c>
      <c r="F1057" s="345" t="inlineStr">
        <is>
          <t>1001</t>
        </is>
      </c>
      <c r="H1057" s="352" t="inlineStr">
        <is>
          <t>Branch35</t>
        </is>
      </c>
    </row>
    <row r="1058">
      <c r="A1058" s="337" t="n">
        <v>1054</v>
      </c>
      <c r="B1058" s="335" t="inlineStr">
        <is>
          <t>M-Payment</t>
        </is>
      </c>
      <c r="C1058" s="344" t="inlineStr">
        <is>
          <t>Bank36</t>
        </is>
      </c>
      <c r="D1058" s="337" t="inlineStr">
        <is>
          <t>1052</t>
        </is>
      </c>
      <c r="E1058" s="335" t="inlineStr">
        <is>
          <t>Jogoo Rd Nairobi</t>
        </is>
      </c>
      <c r="F1058" s="345" t="inlineStr">
        <is>
          <t>1001</t>
        </is>
      </c>
      <c r="H1058" s="353" t="inlineStr">
        <is>
          <t>Branch36</t>
        </is>
      </c>
    </row>
    <row r="1059">
      <c r="A1059" s="340" t="n">
        <v>1011</v>
      </c>
      <c r="B1059" s="341" t="inlineStr">
        <is>
          <t>National Bank of Kenya Limited</t>
        </is>
      </c>
      <c r="C1059" s="343" t="inlineStr">
        <is>
          <t>Bank37</t>
        </is>
      </c>
      <c r="D1059" s="337" t="inlineStr">
        <is>
          <t>1066</t>
        </is>
      </c>
      <c r="E1059" s="335" t="inlineStr">
        <is>
          <t>Kabarnet</t>
        </is>
      </c>
      <c r="F1059" s="345" t="inlineStr">
        <is>
          <t>1001</t>
        </is>
      </c>
      <c r="H1059" s="352" t="inlineStr">
        <is>
          <t>Branch37</t>
        </is>
      </c>
    </row>
    <row r="1060">
      <c r="A1060" s="337" t="n">
        <v>1026</v>
      </c>
      <c r="B1060" s="335" t="inlineStr">
        <is>
          <t>NIC Bank Limited</t>
        </is>
      </c>
      <c r="C1060" s="344" t="inlineStr">
        <is>
          <t>Bank38</t>
        </is>
      </c>
      <c r="D1060" s="337" t="inlineStr">
        <is>
          <t>1046</t>
        </is>
      </c>
      <c r="E1060" s="335" t="inlineStr">
        <is>
          <t>Kajiado</t>
        </is>
      </c>
      <c r="F1060" s="345" t="inlineStr">
        <is>
          <t>1001</t>
        </is>
      </c>
      <c r="H1060" s="353" t="inlineStr">
        <is>
          <t>Branch38</t>
        </is>
      </c>
    </row>
    <row r="1061">
      <c r="A1061" s="340" t="n">
        <v>1012</v>
      </c>
      <c r="B1061" s="341" t="inlineStr">
        <is>
          <t>Oriental Commercial Bank Limited</t>
        </is>
      </c>
      <c r="C1061" s="343" t="inlineStr">
        <is>
          <t>Bank39</t>
        </is>
      </c>
      <c r="D1061" s="337" t="inlineStr">
        <is>
          <t>1025</t>
        </is>
      </c>
      <c r="E1061" s="335" t="inlineStr">
        <is>
          <t>Kakamega</t>
        </is>
      </c>
      <c r="F1061" s="345" t="inlineStr">
        <is>
          <t>1001</t>
        </is>
      </c>
      <c r="H1061" s="352" t="inlineStr">
        <is>
          <t>Branch39</t>
        </is>
      </c>
    </row>
    <row r="1062">
      <c r="A1062" s="337" t="n">
        <v>1030</v>
      </c>
      <c r="B1062" s="335" t="inlineStr">
        <is>
          <t>Paramount Universal Bank Limited</t>
        </is>
      </c>
      <c r="C1062" s="344" t="inlineStr">
        <is>
          <t>Bank40</t>
        </is>
      </c>
      <c r="D1062" s="337" t="inlineStr">
        <is>
          <t>1118</t>
        </is>
      </c>
      <c r="E1062" s="335" t="inlineStr">
        <is>
          <t>KANGARE</t>
        </is>
      </c>
      <c r="F1062" s="345" t="inlineStr">
        <is>
          <t>1001</t>
        </is>
      </c>
      <c r="H1062" s="353" t="inlineStr">
        <is>
          <t>Branch40</t>
        </is>
      </c>
    </row>
    <row r="1063">
      <c r="A1063" s="340" t="n">
        <v>1009</v>
      </c>
      <c r="B1063" s="341" t="inlineStr">
        <is>
          <t>Prime Bank Limited</t>
        </is>
      </c>
      <c r="C1063" s="343" t="inlineStr">
        <is>
          <t>Bank41</t>
        </is>
      </c>
      <c r="D1063" s="337" t="inlineStr">
        <is>
          <t>1032</t>
        </is>
      </c>
      <c r="E1063" s="335" t="inlineStr">
        <is>
          <t>Kangema</t>
        </is>
      </c>
      <c r="F1063" s="345" t="inlineStr">
        <is>
          <t>1001</t>
        </is>
      </c>
      <c r="H1063" s="352" t="inlineStr">
        <is>
          <t>Branch41</t>
        </is>
      </c>
    </row>
    <row r="1064">
      <c r="A1064" s="337" t="n">
        <v>1002</v>
      </c>
      <c r="B1064" s="335" t="inlineStr">
        <is>
          <t>Standard Chartered Bank Kenya Limited</t>
        </is>
      </c>
      <c r="C1064" s="344" t="inlineStr">
        <is>
          <t>Bank42</t>
        </is>
      </c>
      <c r="D1064" s="337" t="inlineStr">
        <is>
          <t>1065</t>
        </is>
      </c>
      <c r="E1064" s="335" t="inlineStr">
        <is>
          <t>Kapenguria</t>
        </is>
      </c>
      <c r="F1064" s="345" t="inlineStr">
        <is>
          <t>1001</t>
        </is>
      </c>
      <c r="H1064" s="353" t="inlineStr">
        <is>
          <t>Branch42</t>
        </is>
      </c>
    </row>
    <row r="1065">
      <c r="A1065" s="340" t="n">
        <v>1020</v>
      </c>
      <c r="B1065" s="341" t="inlineStr">
        <is>
          <t>Trans-National Bank Limited</t>
        </is>
      </c>
      <c r="C1065" s="343" t="inlineStr">
        <is>
          <t>Bank43</t>
        </is>
      </c>
      <c r="D1065" s="337" t="inlineStr">
        <is>
          <t>1079</t>
        </is>
      </c>
      <c r="E1065" s="335" t="inlineStr">
        <is>
          <t>Kapsabet</t>
        </is>
      </c>
      <c r="F1065" s="345" t="inlineStr">
        <is>
          <t>1001</t>
        </is>
      </c>
      <c r="H1065" s="352" t="inlineStr">
        <is>
          <t>Branch43</t>
        </is>
      </c>
    </row>
    <row r="1066">
      <c r="A1066" s="337" t="n">
        <v>1049</v>
      </c>
      <c r="B1066" s="335" t="inlineStr">
        <is>
          <t>UBA Kenya Bank Ltd</t>
        </is>
      </c>
      <c r="C1066" s="344" t="inlineStr">
        <is>
          <t>Bank44</t>
        </is>
      </c>
      <c r="D1066" s="337" t="inlineStr">
        <is>
          <t>1141</t>
        </is>
      </c>
      <c r="E1066" s="335" t="inlineStr">
        <is>
          <t>KAPSOWAR</t>
        </is>
      </c>
      <c r="F1066" s="345" t="inlineStr">
        <is>
          <t>1001</t>
        </is>
      </c>
      <c r="H1066" s="353" t="inlineStr">
        <is>
          <t>Branch44</t>
        </is>
      </c>
    </row>
    <row r="1067">
      <c r="A1067" s="340" t="n">
        <v>1033</v>
      </c>
      <c r="B1067" s="341" t="inlineStr">
        <is>
          <t>Victoria Commercial Bank Limited</t>
        </is>
      </c>
      <c r="C1067" s="343" t="inlineStr">
        <is>
          <t>Bank45</t>
        </is>
      </c>
      <c r="D1067" s="337" t="inlineStr">
        <is>
          <t>1035</t>
        </is>
      </c>
      <c r="E1067" s="335" t="inlineStr">
        <is>
          <t>Karatina</t>
        </is>
      </c>
      <c r="F1067" s="345" t="inlineStr">
        <is>
          <t>1001</t>
        </is>
      </c>
      <c r="H1067" s="352" t="inlineStr">
        <is>
          <t>Branch45</t>
        </is>
      </c>
    </row>
    <row r="1068" ht="17" customHeight="1" s="486" thickBot="1">
      <c r="C1068" s="344" t="inlineStr">
        <is>
          <t>Bank46</t>
        </is>
      </c>
      <c r="D1068" s="337" t="inlineStr">
        <is>
          <t>1113</t>
        </is>
      </c>
      <c r="E1068" s="335" t="inlineStr">
        <is>
          <t>Karen</t>
        </is>
      </c>
      <c r="F1068" s="345" t="inlineStr">
        <is>
          <t>1001</t>
        </is>
      </c>
      <c r="H1068" s="354" t="inlineStr">
        <is>
          <t>Branch46</t>
        </is>
      </c>
    </row>
    <row r="1069">
      <c r="D1069" s="337" t="inlineStr">
        <is>
          <t>1169</t>
        </is>
      </c>
      <c r="E1069" s="335" t="inlineStr">
        <is>
          <t>KARIOBANGI</t>
        </is>
      </c>
      <c r="F1069" s="345" t="inlineStr">
        <is>
          <t>1001</t>
        </is>
      </c>
    </row>
    <row r="1070">
      <c r="D1070" s="337" t="inlineStr">
        <is>
          <t>2489</t>
        </is>
      </c>
      <c r="E1070" s="335" t="inlineStr">
        <is>
          <t>Kawangare</t>
        </is>
      </c>
      <c r="F1070" s="345" t="inlineStr">
        <is>
          <t>1001</t>
        </is>
      </c>
    </row>
    <row r="1071">
      <c r="D1071" s="337" t="inlineStr">
        <is>
          <t>1007</t>
        </is>
      </c>
      <c r="E1071" s="335" t="inlineStr">
        <is>
          <t>KCB CPC</t>
        </is>
      </c>
      <c r="F1071" s="345" t="inlineStr">
        <is>
          <t>1001</t>
        </is>
      </c>
    </row>
    <row r="1072">
      <c r="D1072" s="337" t="inlineStr">
        <is>
          <t>1048</t>
        </is>
      </c>
      <c r="E1072" s="335" t="inlineStr">
        <is>
          <t>KCB Custody services</t>
        </is>
      </c>
      <c r="F1072" s="345" t="inlineStr">
        <is>
          <t>1001</t>
        </is>
      </c>
    </row>
    <row r="1073">
      <c r="D1073" s="337" t="inlineStr">
        <is>
          <t>1081</t>
        </is>
      </c>
      <c r="E1073" s="335" t="inlineStr">
        <is>
          <t>KCB Eldoret West</t>
        </is>
      </c>
      <c r="F1073" s="345" t="inlineStr">
        <is>
          <t>1001</t>
        </is>
      </c>
    </row>
    <row r="1074">
      <c r="D1074" s="337" t="inlineStr">
        <is>
          <t>1128</t>
        </is>
      </c>
      <c r="E1074" s="335" t="inlineStr">
        <is>
          <t>KCB Flamingo</t>
        </is>
      </c>
      <c r="F1074" s="345" t="inlineStr">
        <is>
          <t>1001</t>
        </is>
      </c>
    </row>
    <row r="1075">
      <c r="D1075" s="337" t="inlineStr">
        <is>
          <t>1908</t>
        </is>
      </c>
      <c r="E1075" s="335" t="inlineStr">
        <is>
          <t>Kehancha</t>
        </is>
      </c>
      <c r="F1075" s="345" t="inlineStr">
        <is>
          <t>1001</t>
        </is>
      </c>
    </row>
    <row r="1076">
      <c r="D1076" s="337" t="inlineStr">
        <is>
          <t>1136</t>
        </is>
      </c>
      <c r="E1076" s="335" t="inlineStr">
        <is>
          <t>KENGELENI</t>
        </is>
      </c>
      <c r="F1076" s="345" t="inlineStr">
        <is>
          <t>1001</t>
        </is>
      </c>
    </row>
    <row r="1077">
      <c r="D1077" s="337" t="inlineStr">
        <is>
          <t>1021</t>
        </is>
      </c>
      <c r="E1077" s="335" t="inlineStr">
        <is>
          <t>Kericho</t>
        </is>
      </c>
      <c r="F1077" s="345" t="inlineStr">
        <is>
          <t>1001</t>
        </is>
      </c>
    </row>
    <row r="1078">
      <c r="D1078" s="337" t="inlineStr">
        <is>
          <t>1142</t>
        </is>
      </c>
      <c r="E1078" s="335" t="inlineStr">
        <is>
          <t>KEROKA</t>
        </is>
      </c>
      <c r="F1078" s="345" t="inlineStr">
        <is>
          <t>1001</t>
        </is>
      </c>
    </row>
    <row r="1079">
      <c r="D1079" s="337" t="inlineStr">
        <is>
          <t>1107</t>
        </is>
      </c>
      <c r="E1079" s="335" t="inlineStr">
        <is>
          <t>KERUGOYA</t>
        </is>
      </c>
      <c r="F1079" s="345" t="inlineStr">
        <is>
          <t>1001</t>
        </is>
      </c>
    </row>
    <row r="1080">
      <c r="D1080" s="337" t="inlineStr">
        <is>
          <t>1034</t>
        </is>
      </c>
      <c r="E1080" s="335" t="inlineStr">
        <is>
          <t>Kiambu</t>
        </is>
      </c>
      <c r="F1080" s="345" t="inlineStr">
        <is>
          <t>1001</t>
        </is>
      </c>
    </row>
    <row r="1081">
      <c r="D1081" s="337" t="inlineStr">
        <is>
          <t>1119</t>
        </is>
      </c>
      <c r="E1081" s="335" t="inlineStr">
        <is>
          <t>KIANYAGA</t>
        </is>
      </c>
      <c r="F1081" s="345" t="inlineStr">
        <is>
          <t>1001</t>
        </is>
      </c>
    </row>
    <row r="1082">
      <c r="D1082" s="337" t="inlineStr">
        <is>
          <t>1078</t>
        </is>
      </c>
      <c r="E1082" s="335" t="inlineStr">
        <is>
          <t>KIBWEZI</t>
        </is>
      </c>
      <c r="F1082" s="345" t="inlineStr">
        <is>
          <t>1001</t>
        </is>
      </c>
    </row>
    <row r="1083">
      <c r="D1083" s="337" t="inlineStr">
        <is>
          <t>1019</t>
        </is>
      </c>
      <c r="E1083" s="335" t="inlineStr">
        <is>
          <t>Kicc</t>
        </is>
      </c>
      <c r="F1083" s="345" t="inlineStr">
        <is>
          <t>1001</t>
        </is>
      </c>
    </row>
    <row r="1084">
      <c r="D1084" s="337" t="inlineStr">
        <is>
          <t>1044</t>
        </is>
      </c>
      <c r="E1084" s="335" t="inlineStr">
        <is>
          <t>Kikuyu</t>
        </is>
      </c>
      <c r="F1084" s="345" t="inlineStr">
        <is>
          <t>1001</t>
        </is>
      </c>
    </row>
    <row r="1085">
      <c r="D1085" s="337" t="inlineStr">
        <is>
          <t>1143</t>
        </is>
      </c>
      <c r="E1085" s="335" t="inlineStr">
        <is>
          <t>KILGORIS</t>
        </is>
      </c>
      <c r="F1085" s="345" t="inlineStr">
        <is>
          <t>1001</t>
        </is>
      </c>
    </row>
    <row r="1086">
      <c r="D1086" s="337" t="inlineStr">
        <is>
          <t>1087</t>
        </is>
      </c>
      <c r="E1086" s="335" t="inlineStr">
        <is>
          <t>Kilifi</t>
        </is>
      </c>
      <c r="F1086" s="345" t="inlineStr">
        <is>
          <t>1001</t>
        </is>
      </c>
    </row>
    <row r="1087">
      <c r="D1087" s="337" t="inlineStr">
        <is>
          <t>1026</t>
        </is>
      </c>
      <c r="E1087" s="335" t="inlineStr">
        <is>
          <t>Kilindini Mombasa</t>
        </is>
      </c>
      <c r="F1087" s="345" t="inlineStr">
        <is>
          <t>1001</t>
        </is>
      </c>
    </row>
    <row r="1088">
      <c r="D1088" s="337" t="inlineStr">
        <is>
          <t>1164</t>
        </is>
      </c>
      <c r="E1088" s="335" t="inlineStr">
        <is>
          <t>KIMATHI</t>
        </is>
      </c>
      <c r="F1088" s="345" t="inlineStr">
        <is>
          <t>1001</t>
        </is>
      </c>
    </row>
    <row r="1089">
      <c r="D1089" s="337" t="inlineStr">
        <is>
          <t>1144</t>
        </is>
      </c>
      <c r="E1089" s="335" t="inlineStr">
        <is>
          <t>KIMILILI</t>
        </is>
      </c>
      <c r="F1089" s="345" t="inlineStr">
        <is>
          <t>1001</t>
        </is>
      </c>
    </row>
    <row r="1090">
      <c r="D1090" s="337" t="inlineStr">
        <is>
          <t>1016</t>
        </is>
      </c>
      <c r="E1090" s="335" t="inlineStr">
        <is>
          <t>Kipande House</t>
        </is>
      </c>
      <c r="F1090" s="345" t="inlineStr">
        <is>
          <t>1001</t>
        </is>
      </c>
    </row>
    <row r="1091">
      <c r="D1091" s="337" t="inlineStr">
        <is>
          <t>2488</t>
        </is>
      </c>
      <c r="E1091" s="335" t="inlineStr">
        <is>
          <t>Kiriaini</t>
        </is>
      </c>
      <c r="F1091" s="345" t="inlineStr">
        <is>
          <t>1001</t>
        </is>
      </c>
    </row>
    <row r="1092">
      <c r="D1092" s="337" t="inlineStr">
        <is>
          <t>1181</t>
        </is>
      </c>
      <c r="E1092" s="335" t="inlineStr">
        <is>
          <t>KISAUNI</t>
        </is>
      </c>
      <c r="F1092" s="345" t="inlineStr">
        <is>
          <t>1001</t>
        </is>
      </c>
    </row>
    <row r="1093">
      <c r="D1093" s="337" t="inlineStr">
        <is>
          <t>1179</t>
        </is>
      </c>
      <c r="E1093" s="335" t="inlineStr">
        <is>
          <t>KISERIAN</t>
        </is>
      </c>
      <c r="F1093" s="345" t="inlineStr">
        <is>
          <t>1001</t>
        </is>
      </c>
    </row>
    <row r="1094">
      <c r="D1094" s="337" t="inlineStr">
        <is>
          <t>1103</t>
        </is>
      </c>
      <c r="E1094" s="335" t="inlineStr">
        <is>
          <t>Kisii</t>
        </is>
      </c>
      <c r="F1094" s="345" t="inlineStr">
        <is>
          <t>1001</t>
        </is>
      </c>
    </row>
    <row r="1095">
      <c r="D1095" s="337" t="inlineStr">
        <is>
          <t>1020</t>
        </is>
      </c>
      <c r="E1095" s="335" t="inlineStr">
        <is>
          <t>Kisumu</t>
        </is>
      </c>
      <c r="F1095" s="345" t="inlineStr">
        <is>
          <t>1001</t>
        </is>
      </c>
    </row>
    <row r="1096">
      <c r="D1096" s="337" t="inlineStr">
        <is>
          <t>1191</t>
        </is>
      </c>
      <c r="E1096" s="335" t="inlineStr">
        <is>
          <t>KISUMU AIRPORT</t>
        </is>
      </c>
      <c r="F1096" s="345" t="inlineStr">
        <is>
          <t>1001</t>
        </is>
      </c>
    </row>
    <row r="1097">
      <c r="D1097" s="337" t="inlineStr">
        <is>
          <t>1155</t>
        </is>
      </c>
      <c r="E1097" s="335" t="inlineStr">
        <is>
          <t>KISUMU WEST</t>
        </is>
      </c>
      <c r="F1097" s="345" t="inlineStr">
        <is>
          <t>1001</t>
        </is>
      </c>
    </row>
    <row r="1098">
      <c r="D1098" s="337" t="inlineStr">
        <is>
          <t>1063</t>
        </is>
      </c>
      <c r="E1098" s="335" t="inlineStr">
        <is>
          <t>Kitale</t>
        </is>
      </c>
      <c r="F1098" s="345" t="inlineStr">
        <is>
          <t>1001</t>
        </is>
      </c>
    </row>
    <row r="1099">
      <c r="D1099" s="337" t="inlineStr">
        <is>
          <t>1076</t>
        </is>
      </c>
      <c r="E1099" s="335" t="inlineStr">
        <is>
          <t>KITENGELA</t>
        </is>
      </c>
      <c r="F1099" s="345" t="inlineStr">
        <is>
          <t>1001</t>
        </is>
      </c>
    </row>
    <row r="1100">
      <c r="D1100" s="337" t="inlineStr">
        <is>
          <t>1050</t>
        </is>
      </c>
      <c r="E1100" s="335" t="inlineStr">
        <is>
          <t>Kitui</t>
        </is>
      </c>
      <c r="F1100" s="345" t="inlineStr">
        <is>
          <t>1001</t>
        </is>
      </c>
    </row>
    <row r="1101">
      <c r="D1101" s="337" t="inlineStr">
        <is>
          <t>1167</t>
        </is>
      </c>
      <c r="E1101" s="335" t="inlineStr">
        <is>
          <t>KWALE</t>
        </is>
      </c>
      <c r="F1101" s="345" t="inlineStr">
        <is>
          <t>1001</t>
        </is>
      </c>
    </row>
    <row r="1102">
      <c r="D1102" s="337" t="inlineStr">
        <is>
          <t>1172</t>
        </is>
      </c>
      <c r="E1102" s="335" t="inlineStr">
        <is>
          <t>KYUSO</t>
        </is>
      </c>
      <c r="F1102" s="345" t="inlineStr">
        <is>
          <t>1001</t>
        </is>
      </c>
    </row>
    <row r="1103">
      <c r="D1103" s="337" t="inlineStr">
        <is>
          <t>1086</t>
        </is>
      </c>
      <c r="E1103" s="335" t="inlineStr">
        <is>
          <t>Lamu</t>
        </is>
      </c>
      <c r="F1103" s="345" t="inlineStr">
        <is>
          <t>1001</t>
        </is>
      </c>
    </row>
    <row r="1104">
      <c r="D1104" s="337" t="inlineStr">
        <is>
          <t>1069</t>
        </is>
      </c>
      <c r="E1104" s="335" t="inlineStr">
        <is>
          <t>Limuru</t>
        </is>
      </c>
      <c r="F1104" s="345" t="inlineStr">
        <is>
          <t>1001</t>
        </is>
      </c>
    </row>
    <row r="1105">
      <c r="D1105" s="337" t="inlineStr">
        <is>
          <t>1145</t>
        </is>
      </c>
      <c r="E1105" s="335" t="inlineStr">
        <is>
          <t>LITEIN</t>
        </is>
      </c>
      <c r="F1105" s="345" t="inlineStr">
        <is>
          <t>1001</t>
        </is>
      </c>
    </row>
    <row r="1106">
      <c r="D1106" s="337" t="inlineStr">
        <is>
          <t>1058</t>
        </is>
      </c>
      <c r="E1106" s="335" t="inlineStr">
        <is>
          <t>Lodwar</t>
        </is>
      </c>
      <c r="F1106" s="345" t="inlineStr">
        <is>
          <t>1001</t>
        </is>
      </c>
    </row>
    <row r="1107">
      <c r="D1107" s="337" t="inlineStr">
        <is>
          <t>1056</t>
        </is>
      </c>
      <c r="E1107" s="335" t="inlineStr">
        <is>
          <t>Loitokitok</t>
        </is>
      </c>
      <c r="F1107" s="345" t="inlineStr">
        <is>
          <t>1001</t>
        </is>
      </c>
    </row>
    <row r="1108">
      <c r="D1108" s="337" t="inlineStr">
        <is>
          <t>1114</t>
        </is>
      </c>
      <c r="E1108" s="335" t="inlineStr">
        <is>
          <t>Lokichogio</t>
        </is>
      </c>
      <c r="F1108" s="345" t="inlineStr">
        <is>
          <t>1001</t>
        </is>
      </c>
    </row>
    <row r="1109">
      <c r="D1109" s="337" t="inlineStr">
        <is>
          <t>1146</t>
        </is>
      </c>
      <c r="E1109" s="335" t="inlineStr">
        <is>
          <t>Londiani Branch</t>
        </is>
      </c>
      <c r="F1109" s="345" t="inlineStr">
        <is>
          <t>1001</t>
        </is>
      </c>
    </row>
    <row r="1110">
      <c r="D1110" s="337" t="inlineStr">
        <is>
          <t>1147</t>
        </is>
      </c>
      <c r="E1110" s="335" t="inlineStr">
        <is>
          <t>LUANDA</t>
        </is>
      </c>
      <c r="F1110" s="345" t="inlineStr">
        <is>
          <t>1001</t>
        </is>
      </c>
    </row>
    <row r="1111">
      <c r="D1111" s="337" t="inlineStr">
        <is>
          <t>1106</t>
        </is>
      </c>
      <c r="E1111" s="335" t="inlineStr">
        <is>
          <t>MACHAKOS</t>
        </is>
      </c>
      <c r="F1111" s="345" t="inlineStr">
        <is>
          <t>1001</t>
        </is>
      </c>
    </row>
    <row r="1112">
      <c r="D1112" s="337" t="inlineStr">
        <is>
          <t>1176</t>
        </is>
      </c>
      <c r="E1112" s="335" t="inlineStr">
        <is>
          <t>MAKINDU</t>
        </is>
      </c>
      <c r="F1112" s="345" t="inlineStr">
        <is>
          <t>1001</t>
        </is>
      </c>
    </row>
    <row r="1113">
      <c r="D1113" s="337" t="inlineStr">
        <is>
          <t>1122</t>
        </is>
      </c>
      <c r="E1113" s="335" t="inlineStr">
        <is>
          <t>MAKUYU</t>
        </is>
      </c>
      <c r="F1113" s="345" t="inlineStr">
        <is>
          <t>1001</t>
        </is>
      </c>
    </row>
    <row r="1114">
      <c r="D1114" s="337" t="inlineStr">
        <is>
          <t>1148</t>
        </is>
      </c>
      <c r="E1114" s="335" t="inlineStr">
        <is>
          <t>MALABA</t>
        </is>
      </c>
      <c r="F1114" s="345" t="inlineStr">
        <is>
          <t>1001</t>
        </is>
      </c>
    </row>
    <row r="1115">
      <c r="D1115" s="337" t="inlineStr">
        <is>
          <t>1111</t>
        </is>
      </c>
      <c r="E1115" s="335" t="inlineStr">
        <is>
          <t>Malindi</t>
        </is>
      </c>
      <c r="F1115" s="345" t="inlineStr">
        <is>
          <t>1001</t>
        </is>
      </c>
    </row>
    <row r="1116">
      <c r="D1116" s="337" t="inlineStr">
        <is>
          <t>1064</t>
        </is>
      </c>
      <c r="E1116" s="335" t="inlineStr">
        <is>
          <t>Mandera</t>
        </is>
      </c>
      <c r="F1116" s="345" t="inlineStr">
        <is>
          <t>1001</t>
        </is>
      </c>
    </row>
    <row r="1117">
      <c r="D1117" s="337" t="inlineStr">
        <is>
          <t>1068</t>
        </is>
      </c>
      <c r="E1117" s="335" t="inlineStr">
        <is>
          <t>Maralal</t>
        </is>
      </c>
      <c r="F1117" s="345" t="inlineStr">
        <is>
          <t>1001</t>
        </is>
      </c>
    </row>
    <row r="1118">
      <c r="D1118" s="337" t="inlineStr">
        <is>
          <t>1131</t>
        </is>
      </c>
      <c r="E1118" s="335" t="inlineStr">
        <is>
          <t>MARIAKANI</t>
        </is>
      </c>
      <c r="F1118" s="345" t="inlineStr">
        <is>
          <t>1001</t>
        </is>
      </c>
    </row>
    <row r="1119">
      <c r="D1119" s="337" t="inlineStr">
        <is>
          <t>1156</t>
        </is>
      </c>
      <c r="E1119" s="335" t="inlineStr">
        <is>
          <t>MARIGAT</t>
        </is>
      </c>
      <c r="F1119" s="345" t="inlineStr">
        <is>
          <t>1001</t>
        </is>
      </c>
    </row>
    <row r="1120">
      <c r="D1120" s="337" t="inlineStr">
        <is>
          <t>1054</t>
        </is>
      </c>
      <c r="E1120" s="335" t="inlineStr">
        <is>
          <t>Marsabit</t>
        </is>
      </c>
      <c r="F1120" s="345" t="inlineStr">
        <is>
          <t>1001</t>
        </is>
      </c>
    </row>
    <row r="1121">
      <c r="D1121" s="337" t="inlineStr">
        <is>
          <t>1158</t>
        </is>
      </c>
      <c r="E1121" s="335" t="inlineStr">
        <is>
          <t>MASHARIKI</t>
        </is>
      </c>
      <c r="F1121" s="345" t="inlineStr">
        <is>
          <t>1001</t>
        </is>
      </c>
    </row>
    <row r="1122">
      <c r="D1122" s="337" t="inlineStr">
        <is>
          <t>1173</t>
        </is>
      </c>
      <c r="E1122" s="335" t="inlineStr">
        <is>
          <t>MASII</t>
        </is>
      </c>
      <c r="F1122" s="345" t="inlineStr">
        <is>
          <t>1001</t>
        </is>
      </c>
    </row>
    <row r="1123">
      <c r="D1123" s="337" t="inlineStr">
        <is>
          <t>1049</t>
        </is>
      </c>
      <c r="E1123" s="335" t="inlineStr">
        <is>
          <t>Matuu</t>
        </is>
      </c>
      <c r="F1123" s="345" t="inlineStr">
        <is>
          <t>1001</t>
        </is>
      </c>
    </row>
    <row r="1124">
      <c r="D1124" s="337" t="inlineStr">
        <is>
          <t>2461</t>
        </is>
      </c>
      <c r="E1124" s="335" t="inlineStr">
        <is>
          <t>Maua</t>
        </is>
      </c>
      <c r="F1124" s="345" t="inlineStr">
        <is>
          <t>1001</t>
        </is>
      </c>
    </row>
    <row r="1125">
      <c r="D1125" s="337" t="inlineStr">
        <is>
          <t>1096</t>
        </is>
      </c>
      <c r="E1125" s="335" t="inlineStr">
        <is>
          <t>Mbale</t>
        </is>
      </c>
      <c r="F1125" s="345" t="inlineStr">
        <is>
          <t>1001</t>
        </is>
      </c>
    </row>
    <row r="1126">
      <c r="D1126" s="337" t="inlineStr">
        <is>
          <t>1174</t>
        </is>
      </c>
      <c r="E1126" s="335" t="inlineStr">
        <is>
          <t>Menengai Crater</t>
        </is>
      </c>
      <c r="F1126" s="345" t="inlineStr">
        <is>
          <t>1001</t>
        </is>
      </c>
    </row>
    <row r="1127">
      <c r="D1127" s="337" t="inlineStr">
        <is>
          <t>1038</t>
        </is>
      </c>
      <c r="E1127" s="335" t="inlineStr">
        <is>
          <t>Meru</t>
        </is>
      </c>
      <c r="F1127" s="345" t="inlineStr">
        <is>
          <t>1001</t>
        </is>
      </c>
    </row>
    <row r="1128">
      <c r="D1128" s="337" t="inlineStr">
        <is>
          <t>1104</t>
        </is>
      </c>
      <c r="E1128" s="335" t="inlineStr">
        <is>
          <t>Migori</t>
        </is>
      </c>
      <c r="F1128" s="345" t="inlineStr">
        <is>
          <t>1001</t>
        </is>
      </c>
    </row>
    <row r="1129">
      <c r="D1129" s="337" t="inlineStr">
        <is>
          <t>1088</t>
        </is>
      </c>
      <c r="E1129" s="335" t="inlineStr">
        <is>
          <t>MILIMANI</t>
        </is>
      </c>
      <c r="F1129" s="345" t="inlineStr">
        <is>
          <t>1001</t>
        </is>
      </c>
    </row>
    <row r="1130">
      <c r="D1130" s="337" t="inlineStr">
        <is>
          <t>1015</t>
        </is>
      </c>
      <c r="E1130" s="335" t="inlineStr">
        <is>
          <t>Moi Avenue Nairobi</t>
        </is>
      </c>
      <c r="F1130" s="345" t="inlineStr">
        <is>
          <t>1001</t>
        </is>
      </c>
    </row>
    <row r="1131">
      <c r="D1131" s="337" t="inlineStr">
        <is>
          <t>1910</t>
        </is>
      </c>
      <c r="E1131" s="335" t="inlineStr">
        <is>
          <t>Moi International Airport</t>
        </is>
      </c>
      <c r="F1131" s="345" t="inlineStr">
        <is>
          <t>1001</t>
        </is>
      </c>
    </row>
    <row r="1132">
      <c r="D1132" s="337" t="inlineStr">
        <is>
          <t>1157</t>
        </is>
      </c>
      <c r="E1132" s="335" t="inlineStr">
        <is>
          <t>MOIS BRIDGE</t>
        </is>
      </c>
      <c r="F1132" s="345" t="inlineStr">
        <is>
          <t>1001</t>
        </is>
      </c>
    </row>
    <row r="1133">
      <c r="D1133" s="337" t="inlineStr">
        <is>
          <t>1190</t>
        </is>
      </c>
      <c r="E1133" s="335" t="inlineStr">
        <is>
          <t>Mombasa High Court</t>
        </is>
      </c>
      <c r="F1133" s="345" t="inlineStr">
        <is>
          <t>1001</t>
        </is>
      </c>
    </row>
    <row r="1134">
      <c r="D1134" s="337" t="inlineStr">
        <is>
          <t>1042</t>
        </is>
      </c>
      <c r="E1134" s="335" t="inlineStr">
        <is>
          <t>Moyale</t>
        </is>
      </c>
      <c r="F1134" s="345" t="inlineStr">
        <is>
          <t>1001</t>
        </is>
      </c>
    </row>
    <row r="1135">
      <c r="D1135" s="337" t="inlineStr">
        <is>
          <t>1132</t>
        </is>
      </c>
      <c r="E1135" s="335" t="inlineStr">
        <is>
          <t>MPEKETONI</t>
        </is>
      </c>
      <c r="F1135" s="345" t="inlineStr">
        <is>
          <t>1001</t>
        </is>
      </c>
    </row>
    <row r="1136">
      <c r="D1136" s="337" t="inlineStr">
        <is>
          <t>2485</t>
        </is>
      </c>
      <c r="E1136" s="335" t="inlineStr">
        <is>
          <t>Mtitu Andei</t>
        </is>
      </c>
      <c r="F1136" s="345" t="inlineStr">
        <is>
          <t>1001</t>
        </is>
      </c>
    </row>
    <row r="1137">
      <c r="D1137" s="337" t="inlineStr">
        <is>
          <t>1134</t>
        </is>
      </c>
      <c r="E1137" s="335" t="inlineStr">
        <is>
          <t>MTWAPA</t>
        </is>
      </c>
      <c r="F1137" s="345" t="inlineStr">
        <is>
          <t>1001</t>
        </is>
      </c>
    </row>
    <row r="1138">
      <c r="D1138" s="337" t="inlineStr">
        <is>
          <t>1149</t>
        </is>
      </c>
      <c r="E1138" s="335" t="inlineStr">
        <is>
          <t>MUHORONI</t>
        </is>
      </c>
      <c r="F1138" s="345" t="inlineStr">
        <is>
          <t>1001</t>
        </is>
      </c>
    </row>
    <row r="1139">
      <c r="D1139" s="337" t="inlineStr">
        <is>
          <t>1090</t>
        </is>
      </c>
      <c r="E1139" s="335" t="inlineStr">
        <is>
          <t>Mukuruweini</t>
        </is>
      </c>
      <c r="F1139" s="345" t="inlineStr">
        <is>
          <t>1001</t>
        </is>
      </c>
    </row>
    <row r="1140">
      <c r="D1140" s="337" t="inlineStr">
        <is>
          <t>1039</t>
        </is>
      </c>
      <c r="E1140" s="335" t="inlineStr">
        <is>
          <t>Mumias</t>
        </is>
      </c>
      <c r="F1140" s="345" t="inlineStr">
        <is>
          <t>1001</t>
        </is>
      </c>
    </row>
    <row r="1141">
      <c r="D1141" s="337" t="inlineStr">
        <is>
          <t>1030</t>
        </is>
      </c>
      <c r="E1141" s="335" t="inlineStr">
        <is>
          <t>Muranga</t>
        </is>
      </c>
      <c r="F1141" s="345" t="inlineStr">
        <is>
          <t>1001</t>
        </is>
      </c>
    </row>
    <row r="1142">
      <c r="D1142" s="337" t="inlineStr">
        <is>
          <t>1130</t>
        </is>
      </c>
      <c r="E1142" s="335" t="inlineStr">
        <is>
          <t>MUTOMO</t>
        </is>
      </c>
      <c r="F1142" s="345" t="inlineStr">
        <is>
          <t>1001</t>
        </is>
      </c>
    </row>
    <row r="1143">
      <c r="D1143" s="337" t="inlineStr">
        <is>
          <t>1051</t>
        </is>
      </c>
      <c r="E1143" s="335" t="inlineStr">
        <is>
          <t>Mvita</t>
        </is>
      </c>
      <c r="F1143" s="345" t="inlineStr">
        <is>
          <t>1001</t>
        </is>
      </c>
    </row>
    <row r="1144">
      <c r="D1144" s="337" t="inlineStr">
        <is>
          <t>1123</t>
        </is>
      </c>
      <c r="E1144" s="335" t="inlineStr">
        <is>
          <t>MWEA</t>
        </is>
      </c>
      <c r="F1144" s="345" t="inlineStr">
        <is>
          <t>1001</t>
        </is>
      </c>
    </row>
    <row r="1145">
      <c r="D1145" s="337" t="inlineStr">
        <is>
          <t>1180</t>
        </is>
      </c>
      <c r="E1145" s="335" t="inlineStr">
        <is>
          <t>MWEMBE TAYARI</t>
        </is>
      </c>
      <c r="F1145" s="345" t="inlineStr">
        <is>
          <t>1001</t>
        </is>
      </c>
    </row>
    <row r="1146">
      <c r="D1146" s="337" t="inlineStr">
        <is>
          <t>1062</t>
        </is>
      </c>
      <c r="E1146" s="335" t="inlineStr">
        <is>
          <t>Mwingi</t>
        </is>
      </c>
      <c r="F1146" s="345" t="inlineStr">
        <is>
          <t>1001</t>
        </is>
      </c>
    </row>
    <row r="1147">
      <c r="D1147" s="337" t="inlineStr">
        <is>
          <t>1189</t>
        </is>
      </c>
      <c r="E1147" s="335" t="inlineStr">
        <is>
          <t>Nairobi High Court</t>
        </is>
      </c>
      <c r="F1147" s="345" t="inlineStr">
        <is>
          <t>1001</t>
        </is>
      </c>
    </row>
    <row r="1148">
      <c r="D1148" s="337" t="inlineStr">
        <is>
          <t>1102</t>
        </is>
      </c>
      <c r="E1148" s="335" t="inlineStr">
        <is>
          <t>Naivasha</t>
        </is>
      </c>
      <c r="F1148" s="345" t="inlineStr">
        <is>
          <t>1001</t>
        </is>
      </c>
    </row>
    <row r="1149">
      <c r="D1149" s="337" t="inlineStr">
        <is>
          <t>1018</t>
        </is>
      </c>
      <c r="E1149" s="335" t="inlineStr">
        <is>
          <t>Nakuru</t>
        </is>
      </c>
      <c r="F1149" s="345" t="inlineStr">
        <is>
          <t>1001</t>
        </is>
      </c>
    </row>
    <row r="1150">
      <c r="D1150" s="337" t="inlineStr">
        <is>
          <t>1165</t>
        </is>
      </c>
      <c r="E1150" s="335" t="inlineStr">
        <is>
          <t>NAMANGA</t>
        </is>
      </c>
      <c r="F1150" s="345" t="inlineStr">
        <is>
          <t>1001</t>
        </is>
      </c>
    </row>
    <row r="1151">
      <c r="D1151" s="337" t="inlineStr">
        <is>
          <t>1057</t>
        </is>
      </c>
      <c r="E1151" s="335" t="inlineStr">
        <is>
          <t>Nandi Hills</t>
        </is>
      </c>
      <c r="F1151" s="345" t="inlineStr">
        <is>
          <t>1001</t>
        </is>
      </c>
    </row>
    <row r="1152">
      <c r="D1152" s="337" t="inlineStr">
        <is>
          <t>1040</t>
        </is>
      </c>
      <c r="E1152" s="335" t="inlineStr">
        <is>
          <t>Nanyuki</t>
        </is>
      </c>
      <c r="F1152" s="345" t="inlineStr">
        <is>
          <t>1001</t>
        </is>
      </c>
    </row>
    <row r="1153">
      <c r="D1153" s="337" t="inlineStr">
        <is>
          <t>2487</t>
        </is>
      </c>
      <c r="E1153" s="335" t="inlineStr">
        <is>
          <t>Naro Moro</t>
        </is>
      </c>
      <c r="F1153" s="345" t="inlineStr">
        <is>
          <t>1001</t>
        </is>
      </c>
    </row>
    <row r="1154">
      <c r="D1154" s="337" t="inlineStr">
        <is>
          <t>1097</t>
        </is>
      </c>
      <c r="E1154" s="335" t="inlineStr">
        <is>
          <t>Narok</t>
        </is>
      </c>
      <c r="F1154" s="345" t="inlineStr">
        <is>
          <t>1001</t>
        </is>
      </c>
    </row>
    <row r="1155">
      <c r="D1155" s="337" t="inlineStr">
        <is>
          <t>1171</t>
        </is>
      </c>
      <c r="E1155" s="335" t="inlineStr">
        <is>
          <t>Ngara</t>
        </is>
      </c>
      <c r="F1155" s="345" t="inlineStr">
        <is>
          <t>1001</t>
        </is>
      </c>
    </row>
    <row r="1156">
      <c r="D1156" s="337" t="inlineStr">
        <is>
          <t>1124</t>
        </is>
      </c>
      <c r="E1156" s="335" t="inlineStr">
        <is>
          <t>NJAMBINI</t>
        </is>
      </c>
      <c r="F1156" s="345" t="inlineStr">
        <is>
          <t>1001</t>
        </is>
      </c>
    </row>
    <row r="1157">
      <c r="D1157" s="337" t="inlineStr">
        <is>
          <t>1129</t>
        </is>
      </c>
      <c r="E1157" s="335" t="inlineStr">
        <is>
          <t>NJORO</t>
        </is>
      </c>
      <c r="F1157" s="345" t="inlineStr">
        <is>
          <t>1001</t>
        </is>
      </c>
    </row>
    <row r="1158">
      <c r="D1158" s="337" t="inlineStr">
        <is>
          <t>1120</t>
        </is>
      </c>
      <c r="E1158" s="335" t="inlineStr">
        <is>
          <t>NKUBU</t>
        </is>
      </c>
      <c r="F1158" s="345" t="inlineStr">
        <is>
          <t>1001</t>
        </is>
      </c>
    </row>
    <row r="1159">
      <c r="D1159" s="337" t="inlineStr">
        <is>
          <t>1037</t>
        </is>
      </c>
      <c r="E1159" s="335" t="inlineStr">
        <is>
          <t>Nyahururu</t>
        </is>
      </c>
      <c r="F1159" s="345" t="inlineStr">
        <is>
          <t>1001</t>
        </is>
      </c>
    </row>
    <row r="1160">
      <c r="D1160" s="337" t="inlineStr">
        <is>
          <t>1911</t>
        </is>
      </c>
      <c r="E1160" s="335" t="inlineStr">
        <is>
          <t>Nyali</t>
        </is>
      </c>
      <c r="F1160" s="345" t="inlineStr">
        <is>
          <t>1001</t>
        </is>
      </c>
    </row>
    <row r="1161">
      <c r="D1161" s="337" t="inlineStr">
        <is>
          <t>1089</t>
        </is>
      </c>
      <c r="E1161" s="335" t="inlineStr">
        <is>
          <t>Nyamira</t>
        </is>
      </c>
      <c r="F1161" s="345" t="inlineStr">
        <is>
          <t>1001</t>
        </is>
      </c>
    </row>
    <row r="1162">
      <c r="D1162" s="337" t="inlineStr">
        <is>
          <t>1027</t>
        </is>
      </c>
      <c r="E1162" s="335" t="inlineStr">
        <is>
          <t>Nyeri</t>
        </is>
      </c>
      <c r="F1162" s="345" t="inlineStr">
        <is>
          <t>1001</t>
        </is>
      </c>
    </row>
    <row r="1163">
      <c r="D1163" s="337" t="inlineStr">
        <is>
          <t>2484</t>
        </is>
      </c>
      <c r="E1163" s="335" t="inlineStr">
        <is>
          <t>Ol Kalou</t>
        </is>
      </c>
      <c r="F1163" s="345" t="inlineStr">
        <is>
          <t>1001</t>
        </is>
      </c>
    </row>
    <row r="1164">
      <c r="D1164" s="337" t="inlineStr">
        <is>
          <t>1075</t>
        </is>
      </c>
      <c r="E1164" s="335" t="inlineStr">
        <is>
          <t>Ongata Rongai</t>
        </is>
      </c>
      <c r="F1164" s="345" t="inlineStr">
        <is>
          <t>1001</t>
        </is>
      </c>
    </row>
    <row r="1165">
      <c r="D1165" s="337" t="inlineStr">
        <is>
          <t>1098</t>
        </is>
      </c>
      <c r="E1165" s="335" t="inlineStr">
        <is>
          <t>Othaya</t>
        </is>
      </c>
      <c r="F1165" s="345" t="inlineStr">
        <is>
          <t>1001</t>
        </is>
      </c>
    </row>
    <row r="1166">
      <c r="D1166" s="337" t="inlineStr">
        <is>
          <t>1150</t>
        </is>
      </c>
      <c r="E1166" s="335" t="inlineStr">
        <is>
          <t>OYUGIS</t>
        </is>
      </c>
      <c r="F1166" s="345" t="inlineStr">
        <is>
          <t>1001</t>
        </is>
      </c>
    </row>
    <row r="1167">
      <c r="D1167" s="337" t="inlineStr">
        <is>
          <t>1909</t>
        </is>
      </c>
      <c r="E1167" s="335" t="inlineStr">
        <is>
          <t>Port Victoria</t>
        </is>
      </c>
      <c r="F1167" s="345" t="inlineStr">
        <is>
          <t>1001</t>
        </is>
      </c>
    </row>
    <row r="1168">
      <c r="D1168" s="337" t="inlineStr">
        <is>
          <t>1168</t>
        </is>
      </c>
      <c r="E1168" s="335" t="inlineStr">
        <is>
          <t>PRESTIGE PLAZA</t>
        </is>
      </c>
      <c r="F1168" s="345" t="inlineStr">
        <is>
          <t>1001</t>
        </is>
      </c>
    </row>
    <row r="1169">
      <c r="D1169" s="337" t="inlineStr">
        <is>
          <t>1029</t>
        </is>
      </c>
      <c r="E1169" s="335" t="inlineStr">
        <is>
          <t>River Road</t>
        </is>
      </c>
      <c r="F1169" s="345" t="inlineStr">
        <is>
          <t>1001</t>
        </is>
      </c>
    </row>
    <row r="1170">
      <c r="D1170" s="337" t="inlineStr">
        <is>
          <t>1177</t>
        </is>
      </c>
      <c r="E1170" s="335" t="inlineStr">
        <is>
          <t>RONGO</t>
        </is>
      </c>
      <c r="F1170" s="345" t="inlineStr">
        <is>
          <t>1001</t>
        </is>
      </c>
    </row>
    <row r="1171">
      <c r="D1171" s="337" t="inlineStr">
        <is>
          <t>1061</t>
        </is>
      </c>
      <c r="E1171" s="335" t="inlineStr">
        <is>
          <t>Ruiru</t>
        </is>
      </c>
      <c r="F1171" s="345" t="inlineStr">
        <is>
          <t>1001</t>
        </is>
      </c>
    </row>
    <row r="1172">
      <c r="D1172" s="337" t="inlineStr">
        <is>
          <t>1183</t>
        </is>
      </c>
      <c r="E1172" s="335" t="inlineStr">
        <is>
          <t>Salama House Mortgage Centre</t>
        </is>
      </c>
      <c r="F1172" s="345" t="inlineStr">
        <is>
          <t>1001</t>
        </is>
      </c>
    </row>
    <row r="1173">
      <c r="D1173" s="337" t="inlineStr">
        <is>
          <t>1055</t>
        </is>
      </c>
      <c r="E1173" s="335" t="inlineStr">
        <is>
          <t>Sarit Centre</t>
        </is>
      </c>
      <c r="F1173" s="345" t="inlineStr">
        <is>
          <t>1001</t>
        </is>
      </c>
    </row>
    <row r="1174">
      <c r="D1174" s="337" t="inlineStr">
        <is>
          <t>1185</t>
        </is>
      </c>
      <c r="E1174" s="335" t="inlineStr">
        <is>
          <t>Sarit Centre Mortgage Centre</t>
        </is>
      </c>
      <c r="F1174" s="345" t="inlineStr">
        <is>
          <t>1001</t>
        </is>
      </c>
    </row>
    <row r="1175">
      <c r="D1175" s="337" t="inlineStr">
        <is>
          <t>1153</t>
        </is>
      </c>
      <c r="E1175" s="335" t="inlineStr">
        <is>
          <t>SEREM</t>
        </is>
      </c>
      <c r="F1175" s="345" t="inlineStr">
        <is>
          <t>1001</t>
        </is>
      </c>
    </row>
    <row r="1176">
      <c r="D1176" s="337" t="inlineStr">
        <is>
          <t>1036</t>
        </is>
      </c>
      <c r="E1176" s="335" t="inlineStr">
        <is>
          <t>Siaya</t>
        </is>
      </c>
      <c r="F1176" s="345" t="inlineStr">
        <is>
          <t>1001</t>
        </is>
      </c>
    </row>
    <row r="1177">
      <c r="D1177" s="337" t="inlineStr">
        <is>
          <t>1154</t>
        </is>
      </c>
      <c r="E1177" s="335" t="inlineStr">
        <is>
          <t>SONDU</t>
        </is>
      </c>
      <c r="F1177" s="345" t="inlineStr">
        <is>
          <t>1001</t>
        </is>
      </c>
    </row>
    <row r="1178">
      <c r="D1178" s="337" t="inlineStr">
        <is>
          <t>1101</t>
        </is>
      </c>
      <c r="E1178" s="335" t="inlineStr">
        <is>
          <t>Sotik</t>
        </is>
      </c>
      <c r="F1178" s="345" t="inlineStr">
        <is>
          <t>1001</t>
        </is>
      </c>
    </row>
    <row r="1179">
      <c r="D1179" s="337" t="inlineStr">
        <is>
          <t>1045</t>
        </is>
      </c>
      <c r="E1179" s="335" t="inlineStr">
        <is>
          <t>Tala</t>
        </is>
      </c>
      <c r="F1179" s="345" t="inlineStr">
        <is>
          <t>1001</t>
        </is>
      </c>
    </row>
    <row r="1180">
      <c r="D1180" s="337" t="inlineStr">
        <is>
          <t>1135</t>
        </is>
      </c>
      <c r="E1180" s="335" t="inlineStr">
        <is>
          <t>TAVETA</t>
        </is>
      </c>
      <c r="F1180" s="345" t="inlineStr">
        <is>
          <t>1001</t>
        </is>
      </c>
    </row>
    <row r="1181">
      <c r="D1181" s="337" t="inlineStr">
        <is>
          <t>1023</t>
        </is>
      </c>
      <c r="E1181" s="335" t="inlineStr">
        <is>
          <t>Thika</t>
        </is>
      </c>
      <c r="F1181" s="345" t="inlineStr">
        <is>
          <t>1001</t>
        </is>
      </c>
    </row>
    <row r="1182">
      <c r="D1182" s="337" t="inlineStr">
        <is>
          <t>1022</t>
        </is>
      </c>
      <c r="E1182" s="335" t="inlineStr">
        <is>
          <t>Tom Mboya</t>
        </is>
      </c>
      <c r="F1182" s="345" t="inlineStr">
        <is>
          <t>1001</t>
        </is>
      </c>
    </row>
    <row r="1183">
      <c r="D1183" s="337" t="inlineStr">
        <is>
          <t>1175</t>
        </is>
      </c>
      <c r="E1183" s="335" t="inlineStr">
        <is>
          <t>TOWN CENTRE</t>
        </is>
      </c>
      <c r="F1183" s="345" t="inlineStr">
        <is>
          <t>1001</t>
        </is>
      </c>
    </row>
    <row r="1184">
      <c r="D1184" s="337" t="inlineStr">
        <is>
          <t>1187</t>
        </is>
      </c>
      <c r="E1184" s="335" t="inlineStr">
        <is>
          <t>TRADE SERVICES</t>
        </is>
      </c>
      <c r="F1184" s="345" t="inlineStr">
        <is>
          <t>1001</t>
        </is>
      </c>
    </row>
    <row r="1185">
      <c r="D1185" s="337" t="inlineStr">
        <is>
          <t>1017</t>
        </is>
      </c>
      <c r="E1185" s="335" t="inlineStr">
        <is>
          <t>Treasury Sq Mombasa</t>
        </is>
      </c>
      <c r="F1185" s="345" t="inlineStr">
        <is>
          <t>1001</t>
        </is>
      </c>
    </row>
    <row r="1186">
      <c r="D1186" s="337" t="inlineStr">
        <is>
          <t>1151</t>
        </is>
      </c>
      <c r="E1186" s="335" t="inlineStr">
        <is>
          <t>UGUNJA</t>
        </is>
      </c>
      <c r="F1186" s="345" t="inlineStr">
        <is>
          <t>1001</t>
        </is>
      </c>
    </row>
    <row r="1187">
      <c r="D1187" s="337" t="inlineStr">
        <is>
          <t>1071</t>
        </is>
      </c>
      <c r="E1187" s="335" t="inlineStr">
        <is>
          <t>Ukunda</t>
        </is>
      </c>
      <c r="F1187" s="345" t="inlineStr">
        <is>
          <t>1001</t>
        </is>
      </c>
    </row>
    <row r="1188">
      <c r="D1188" s="337" t="inlineStr">
        <is>
          <t>1059</t>
        </is>
      </c>
      <c r="E1188" s="335" t="inlineStr">
        <is>
          <t>Un Gigiri</t>
        </is>
      </c>
      <c r="F1188" s="345" t="inlineStr">
        <is>
          <t>1001</t>
        </is>
      </c>
    </row>
    <row r="1189">
      <c r="D1189" s="337" t="inlineStr">
        <is>
          <t>1152</t>
        </is>
      </c>
      <c r="E1189" s="335" t="inlineStr">
        <is>
          <t>UNITED MALL</t>
        </is>
      </c>
      <c r="F1189" s="345" t="inlineStr">
        <is>
          <t>1001</t>
        </is>
      </c>
    </row>
    <row r="1190">
      <c r="D1190" s="337" t="inlineStr">
        <is>
          <t>1080</t>
        </is>
      </c>
      <c r="E1190" s="335" t="inlineStr">
        <is>
          <t>University Way</t>
        </is>
      </c>
      <c r="F1190" s="345" t="inlineStr">
        <is>
          <t>1001</t>
        </is>
      </c>
    </row>
    <row r="1191">
      <c r="D1191" s="337" t="inlineStr">
        <is>
          <t>1093</t>
        </is>
      </c>
      <c r="E1191" s="335" t="inlineStr">
        <is>
          <t>Village Market</t>
        </is>
      </c>
      <c r="F1191" s="345" t="inlineStr">
        <is>
          <t>1001</t>
        </is>
      </c>
    </row>
    <row r="1192">
      <c r="D1192" s="337" t="inlineStr">
        <is>
          <t>1099</t>
        </is>
      </c>
      <c r="E1192" s="335" t="inlineStr">
        <is>
          <t>Voi</t>
        </is>
      </c>
      <c r="F1192" s="345" t="inlineStr">
        <is>
          <t>1001</t>
        </is>
      </c>
    </row>
    <row r="1193">
      <c r="D1193" s="337" t="inlineStr">
        <is>
          <t>1067</t>
        </is>
      </c>
      <c r="E1193" s="335" t="inlineStr">
        <is>
          <t>Wajir</t>
        </is>
      </c>
      <c r="F1193" s="345" t="inlineStr">
        <is>
          <t>1001</t>
        </is>
      </c>
    </row>
    <row r="1194">
      <c r="D1194" s="337" t="inlineStr">
        <is>
          <t>1138</t>
        </is>
      </c>
      <c r="E1194" s="335" t="inlineStr">
        <is>
          <t>WATAMU</t>
        </is>
      </c>
      <c r="F1194" s="345" t="inlineStr">
        <is>
          <t>1001</t>
        </is>
      </c>
    </row>
    <row r="1195">
      <c r="D1195" s="337" t="inlineStr">
        <is>
          <t>1100</t>
        </is>
      </c>
      <c r="E1195" s="335" t="inlineStr">
        <is>
          <t>Webuye</t>
        </is>
      </c>
      <c r="F1195" s="345" t="inlineStr">
        <is>
          <t>1001</t>
        </is>
      </c>
    </row>
    <row r="1196">
      <c r="D1196" s="337" t="inlineStr">
        <is>
          <t>1912</t>
        </is>
      </c>
      <c r="E1196" s="335" t="inlineStr">
        <is>
          <t>Westgate Advantage</t>
        </is>
      </c>
      <c r="F1196" s="345" t="inlineStr">
        <is>
          <t>1001</t>
        </is>
      </c>
    </row>
    <row r="1197">
      <c r="D1197" s="337" t="inlineStr">
        <is>
          <t>1010</t>
        </is>
      </c>
      <c r="E1197" s="335" t="inlineStr">
        <is>
          <t>Wote</t>
        </is>
      </c>
      <c r="F1197" s="345" t="inlineStr">
        <is>
          <t>1001</t>
        </is>
      </c>
    </row>
    <row r="1198">
      <c r="D1198" s="337" t="inlineStr">
        <is>
          <t>1110</t>
        </is>
      </c>
      <c r="E1198" s="335" t="inlineStr">
        <is>
          <t>Wundanyi</t>
        </is>
      </c>
      <c r="F1198" s="345" t="inlineStr">
        <is>
          <t>1001</t>
        </is>
      </c>
    </row>
    <row r="1199">
      <c r="D1199" s="346" t="inlineStr">
        <is>
          <t>1921</t>
        </is>
      </c>
      <c r="E1199" s="336" t="inlineStr">
        <is>
          <t>Bungoma</t>
        </is>
      </c>
      <c r="F1199" s="347" t="inlineStr">
        <is>
          <t>1002</t>
        </is>
      </c>
    </row>
    <row r="1200">
      <c r="D1200" s="346" t="inlineStr">
        <is>
          <t>1234</t>
        </is>
      </c>
      <c r="E1200" s="336" t="inlineStr">
        <is>
          <t>C.o.u</t>
        </is>
      </c>
      <c r="F1200" s="347" t="inlineStr">
        <is>
          <t>1002</t>
        </is>
      </c>
    </row>
    <row r="1201">
      <c r="D1201" s="346" t="inlineStr">
        <is>
          <t>1916</t>
        </is>
      </c>
      <c r="E1201" s="336" t="inlineStr">
        <is>
          <t>Chiromo</t>
        </is>
      </c>
      <c r="F1201" s="347" t="inlineStr">
        <is>
          <t>1002</t>
        </is>
      </c>
    </row>
    <row r="1202">
      <c r="D1202" s="346" t="inlineStr">
        <is>
          <t>2459</t>
        </is>
      </c>
      <c r="E1202" s="336" t="inlineStr">
        <is>
          <t>Eastleigh</t>
        </is>
      </c>
      <c r="F1202" s="347" t="inlineStr">
        <is>
          <t>1002</t>
        </is>
      </c>
    </row>
    <row r="1203">
      <c r="D1203" s="346" t="inlineStr">
        <is>
          <t>1201</t>
        </is>
      </c>
      <c r="E1203" s="336" t="inlineStr">
        <is>
          <t>Eldoret</t>
        </is>
      </c>
      <c r="F1203" s="347" t="inlineStr">
        <is>
          <t>1002</t>
        </is>
      </c>
    </row>
    <row r="1204">
      <c r="D1204" s="346" t="inlineStr">
        <is>
          <t>1917</t>
        </is>
      </c>
      <c r="E1204" s="336" t="inlineStr">
        <is>
          <t>Greenspan</t>
        </is>
      </c>
      <c r="F1204" s="347" t="inlineStr">
        <is>
          <t>1002</t>
        </is>
      </c>
    </row>
    <row r="1205">
      <c r="D1205" s="346" t="inlineStr">
        <is>
          <t>1217</t>
        </is>
      </c>
      <c r="E1205" s="336" t="inlineStr">
        <is>
          <t>Harambee Avenue</t>
        </is>
      </c>
      <c r="F1205" s="347" t="inlineStr">
        <is>
          <t>1002</t>
        </is>
      </c>
    </row>
    <row r="1206">
      <c r="D1206" s="346" t="inlineStr">
        <is>
          <t>1219</t>
        </is>
      </c>
      <c r="E1206" s="336" t="inlineStr">
        <is>
          <t>Industrial Area</t>
        </is>
      </c>
      <c r="F1206" s="347" t="inlineStr">
        <is>
          <t>1002</t>
        </is>
      </c>
    </row>
    <row r="1207">
      <c r="D1207" s="346" t="inlineStr">
        <is>
          <t>1220</t>
        </is>
      </c>
      <c r="E1207" s="336" t="inlineStr">
        <is>
          <t>Kakamega</t>
        </is>
      </c>
      <c r="F1207" s="347" t="inlineStr">
        <is>
          <t>1002</t>
        </is>
      </c>
    </row>
    <row r="1208">
      <c r="D1208" s="346" t="inlineStr">
        <is>
          <t>1232</t>
        </is>
      </c>
      <c r="E1208" s="336" t="inlineStr">
        <is>
          <t>Karen</t>
        </is>
      </c>
      <c r="F1208" s="347" t="inlineStr">
        <is>
          <t>1002</t>
        </is>
      </c>
    </row>
    <row r="1209">
      <c r="D1209" s="346" t="inlineStr">
        <is>
          <t>1207</t>
        </is>
      </c>
      <c r="E1209" s="336" t="inlineStr">
        <is>
          <t>Kenyatta Avenue</t>
        </is>
      </c>
      <c r="F1209" s="347" t="inlineStr">
        <is>
          <t>1002</t>
        </is>
      </c>
    </row>
    <row r="1210">
      <c r="D1210" s="346" t="inlineStr">
        <is>
          <t>1202</t>
        </is>
      </c>
      <c r="E1210" s="336" t="inlineStr">
        <is>
          <t>Kericho</t>
        </is>
      </c>
      <c r="F1210" s="347" t="inlineStr">
        <is>
          <t>1002</t>
        </is>
      </c>
    </row>
    <row r="1211">
      <c r="D1211" s="346" t="inlineStr">
        <is>
          <t>1218</t>
        </is>
      </c>
      <c r="E1211" s="336" t="inlineStr">
        <is>
          <t>Kiambu</t>
        </is>
      </c>
      <c r="F1211" s="347" t="inlineStr">
        <is>
          <t>1002</t>
        </is>
      </c>
    </row>
    <row r="1212">
      <c r="D1212" s="346" t="inlineStr">
        <is>
          <t>2462</t>
        </is>
      </c>
      <c r="E1212" s="336" t="inlineStr">
        <is>
          <t>Kilindini</t>
        </is>
      </c>
      <c r="F1212" s="347" t="inlineStr">
        <is>
          <t>1002</t>
        </is>
      </c>
    </row>
    <row r="1213">
      <c r="D1213" s="346" t="inlineStr">
        <is>
          <t>2460</t>
        </is>
      </c>
      <c r="E1213" s="336" t="inlineStr">
        <is>
          <t>Kisii</t>
        </is>
      </c>
      <c r="F1213" s="347" t="inlineStr">
        <is>
          <t>1002</t>
        </is>
      </c>
    </row>
    <row r="1214">
      <c r="D1214" s="346" t="inlineStr">
        <is>
          <t>1203</t>
        </is>
      </c>
      <c r="E1214" s="336" t="inlineStr">
        <is>
          <t>Kisumu</t>
        </is>
      </c>
      <c r="F1214" s="347" t="inlineStr">
        <is>
          <t>1002</t>
        </is>
      </c>
    </row>
    <row r="1215">
      <c r="D1215" s="346" t="inlineStr">
        <is>
          <t>1204</t>
        </is>
      </c>
      <c r="E1215" s="336" t="inlineStr">
        <is>
          <t>Kitale</t>
        </is>
      </c>
      <c r="F1215" s="347" t="inlineStr">
        <is>
          <t>1002</t>
        </is>
      </c>
    </row>
    <row r="1216">
      <c r="D1216" s="346" t="inlineStr">
        <is>
          <t>1920</t>
        </is>
      </c>
      <c r="E1216" s="336" t="inlineStr">
        <is>
          <t>Kitengela</t>
        </is>
      </c>
      <c r="F1216" s="347" t="inlineStr">
        <is>
          <t>1002</t>
        </is>
      </c>
    </row>
    <row r="1217">
      <c r="D1217" s="346" t="inlineStr">
        <is>
          <t>1225</t>
        </is>
      </c>
      <c r="E1217" s="336" t="inlineStr">
        <is>
          <t>Koinage</t>
        </is>
      </c>
      <c r="F1217" s="347" t="inlineStr">
        <is>
          <t>1002</t>
        </is>
      </c>
    </row>
    <row r="1218">
      <c r="D1218" s="346" t="inlineStr">
        <is>
          <t>1230</t>
        </is>
      </c>
      <c r="E1218" s="336" t="inlineStr">
        <is>
          <t>Langata</t>
        </is>
      </c>
      <c r="F1218" s="347" t="inlineStr">
        <is>
          <t>1002</t>
        </is>
      </c>
    </row>
    <row r="1219">
      <c r="D1219" s="346" t="inlineStr">
        <is>
          <t>1215</t>
        </is>
      </c>
      <c r="E1219" s="336" t="inlineStr">
        <is>
          <t>Machakos</t>
        </is>
      </c>
      <c r="F1219" s="347" t="inlineStr">
        <is>
          <t>1002</t>
        </is>
      </c>
    </row>
    <row r="1220">
      <c r="D1220" s="346" t="inlineStr">
        <is>
          <t>1231</t>
        </is>
      </c>
      <c r="E1220" s="336" t="inlineStr">
        <is>
          <t>Makupa</t>
        </is>
      </c>
      <c r="F1220" s="347" t="inlineStr">
        <is>
          <t>1002</t>
        </is>
      </c>
    </row>
    <row r="1221">
      <c r="D1221" s="346" t="inlineStr">
        <is>
          <t>1221</t>
        </is>
      </c>
      <c r="E1221" s="336" t="inlineStr">
        <is>
          <t>Malindi</t>
        </is>
      </c>
      <c r="F1221" s="347" t="inlineStr">
        <is>
          <t>1002</t>
        </is>
      </c>
    </row>
    <row r="1222">
      <c r="D1222" s="346" t="inlineStr">
        <is>
          <t>1216</t>
        </is>
      </c>
      <c r="E1222" s="336" t="inlineStr">
        <is>
          <t>Meru</t>
        </is>
      </c>
      <c r="F1222" s="347" t="inlineStr">
        <is>
          <t>1002</t>
        </is>
      </c>
    </row>
    <row r="1223">
      <c r="D1223" s="346" t="inlineStr">
        <is>
          <t>2456</t>
        </is>
      </c>
      <c r="E1223" s="336" t="inlineStr">
        <is>
          <t>Moi Avenue</t>
        </is>
      </c>
      <c r="F1223" s="347" t="inlineStr">
        <is>
          <t>1002</t>
        </is>
      </c>
    </row>
    <row r="1224">
      <c r="D1224" s="346" t="inlineStr">
        <is>
          <t>1233</t>
        </is>
      </c>
      <c r="E1224" s="336" t="inlineStr">
        <is>
          <t>Muthaiga</t>
        </is>
      </c>
      <c r="F1224" s="347" t="inlineStr">
        <is>
          <t>1002</t>
        </is>
      </c>
    </row>
    <row r="1225">
      <c r="D1225" s="346" t="inlineStr">
        <is>
          <t>1210</t>
        </is>
      </c>
      <c r="E1225" s="336" t="inlineStr">
        <is>
          <t>Nakuru</t>
        </is>
      </c>
      <c r="F1225" s="347" t="inlineStr">
        <is>
          <t>1002</t>
        </is>
      </c>
    </row>
    <row r="1226">
      <c r="D1226" s="346" t="inlineStr">
        <is>
          <t>1211</t>
        </is>
      </c>
      <c r="E1226" s="336" t="inlineStr">
        <is>
          <t>Nanyuki</t>
        </is>
      </c>
      <c r="F1226" s="347" t="inlineStr">
        <is>
          <t>1002</t>
        </is>
      </c>
    </row>
    <row r="1227">
      <c r="D1227" s="346" t="inlineStr">
        <is>
          <t>1915</t>
        </is>
      </c>
      <c r="E1227" s="336" t="inlineStr">
        <is>
          <t>Nyali</t>
        </is>
      </c>
      <c r="F1227" s="347" t="inlineStr">
        <is>
          <t>1002</t>
        </is>
      </c>
    </row>
    <row r="1228">
      <c r="D1228" s="346" t="inlineStr">
        <is>
          <t>1212</t>
        </is>
      </c>
      <c r="E1228" s="336" t="inlineStr">
        <is>
          <t>Nyeri</t>
        </is>
      </c>
      <c r="F1228" s="347" t="inlineStr">
        <is>
          <t>1002</t>
        </is>
      </c>
    </row>
    <row r="1229">
      <c r="D1229" s="346" t="inlineStr">
        <is>
          <t>1229</t>
        </is>
      </c>
      <c r="E1229" s="336" t="inlineStr">
        <is>
          <t>Ruaraka</t>
        </is>
      </c>
      <c r="F1229" s="347" t="inlineStr">
        <is>
          <t>1002</t>
        </is>
      </c>
    </row>
    <row r="1230">
      <c r="D1230" s="346" t="inlineStr">
        <is>
          <t>1919</t>
        </is>
      </c>
      <c r="E1230" s="336" t="inlineStr">
        <is>
          <t>The Junction</t>
        </is>
      </c>
      <c r="F1230" s="347" t="inlineStr">
        <is>
          <t>1002</t>
        </is>
      </c>
    </row>
    <row r="1231">
      <c r="D1231" s="346" t="inlineStr">
        <is>
          <t>1918</t>
        </is>
      </c>
      <c r="E1231" s="336" t="inlineStr">
        <is>
          <t>The T-Mall</t>
        </is>
      </c>
      <c r="F1231" s="347" t="inlineStr">
        <is>
          <t>1002</t>
        </is>
      </c>
    </row>
    <row r="1232">
      <c r="D1232" s="346" t="inlineStr">
        <is>
          <t>1213</t>
        </is>
      </c>
      <c r="E1232" s="336" t="inlineStr">
        <is>
          <t>Thika</t>
        </is>
      </c>
      <c r="F1232" s="347" t="inlineStr">
        <is>
          <t>1002</t>
        </is>
      </c>
    </row>
    <row r="1233">
      <c r="D1233" s="346" t="inlineStr">
        <is>
          <t>1205</t>
        </is>
      </c>
      <c r="E1233" s="336" t="inlineStr">
        <is>
          <t>Treasury Square</t>
        </is>
      </c>
      <c r="F1233" s="347" t="inlineStr">
        <is>
          <t>1002</t>
        </is>
      </c>
    </row>
    <row r="1234">
      <c r="D1234" s="346" t="inlineStr">
        <is>
          <t>2458</t>
        </is>
      </c>
      <c r="E1234" s="336" t="inlineStr">
        <is>
          <t>Ukay</t>
        </is>
      </c>
      <c r="F1234" s="347" t="inlineStr">
        <is>
          <t>1002</t>
        </is>
      </c>
    </row>
    <row r="1235">
      <c r="D1235" s="346" t="inlineStr">
        <is>
          <t>1914</t>
        </is>
      </c>
      <c r="E1235" s="336" t="inlineStr">
        <is>
          <t>Upper Hill Branch</t>
        </is>
      </c>
      <c r="F1235" s="347" t="inlineStr">
        <is>
          <t>1002</t>
        </is>
      </c>
    </row>
    <row r="1236">
      <c r="D1236" s="346" t="inlineStr">
        <is>
          <t>1214</t>
        </is>
      </c>
      <c r="E1236" s="336" t="inlineStr">
        <is>
          <t>Westlands</t>
        </is>
      </c>
      <c r="F1236" s="347" t="inlineStr">
        <is>
          <t>1002</t>
        </is>
      </c>
    </row>
    <row r="1237">
      <c r="D1237" s="346" t="inlineStr">
        <is>
          <t>2457</t>
        </is>
      </c>
      <c r="E1237" s="336" t="inlineStr">
        <is>
          <t>Yaya Centre Branch</t>
        </is>
      </c>
      <c r="F1237" s="347" t="inlineStr">
        <is>
          <t>1002</t>
        </is>
      </c>
    </row>
    <row r="1238">
      <c r="D1238" s="337" t="inlineStr">
        <is>
          <t>2379</t>
        </is>
      </c>
      <c r="E1238" s="335" t="inlineStr">
        <is>
          <t>Abc Premier Life Centre</t>
        </is>
      </c>
      <c r="F1238" s="345" t="inlineStr">
        <is>
          <t>1003</t>
        </is>
      </c>
    </row>
    <row r="1239">
      <c r="D1239" s="337" t="inlineStr">
        <is>
          <t>1939</t>
        </is>
      </c>
      <c r="E1239" s="335" t="inlineStr">
        <is>
          <t>Bamburi Branch</t>
        </is>
      </c>
      <c r="F1239" s="345" t="inlineStr">
        <is>
          <t>1003</t>
        </is>
      </c>
    </row>
    <row r="1240">
      <c r="D1240" s="337" t="inlineStr">
        <is>
          <t>1309</t>
        </is>
      </c>
      <c r="E1240" s="335" t="inlineStr">
        <is>
          <t>Barcalys Plaza Corporate Service Centre</t>
        </is>
      </c>
      <c r="F1240" s="345" t="inlineStr">
        <is>
          <t>1003</t>
        </is>
      </c>
    </row>
    <row r="1241">
      <c r="D1241" s="337" t="inlineStr">
        <is>
          <t>1258</t>
        </is>
      </c>
      <c r="E1241" s="335" t="inlineStr">
        <is>
          <t>Barclaycard Operations</t>
        </is>
      </c>
      <c r="F1241" s="345" t="inlineStr">
        <is>
          <t>1003</t>
        </is>
      </c>
    </row>
    <row r="1242">
      <c r="D1242" s="337" t="inlineStr">
        <is>
          <t>1924</t>
        </is>
      </c>
      <c r="E1242" s="335" t="inlineStr">
        <is>
          <t>Barclays Advisory And Reg. Services</t>
        </is>
      </c>
      <c r="F1242" s="345" t="inlineStr">
        <is>
          <t>1003</t>
        </is>
      </c>
    </row>
    <row r="1243">
      <c r="D1243" s="337" t="inlineStr">
        <is>
          <t>1318</t>
        </is>
      </c>
      <c r="E1243" s="335" t="inlineStr">
        <is>
          <t>Barclays Merchant Finance Ltd.</t>
        </is>
      </c>
      <c r="F1243" s="345" t="inlineStr">
        <is>
          <t>1003</t>
        </is>
      </c>
    </row>
    <row r="1244">
      <c r="D1244" s="337" t="inlineStr">
        <is>
          <t>2482</t>
        </is>
      </c>
      <c r="E1244" s="335" t="inlineStr">
        <is>
          <t>Barclays Securities Services (k</t>
        </is>
      </c>
      <c r="F1244" s="345" t="inlineStr">
        <is>
          <t>1003</t>
        </is>
      </c>
    </row>
    <row r="1245">
      <c r="D1245" s="337" t="inlineStr">
        <is>
          <t>1264</t>
        </is>
      </c>
      <c r="E1245" s="335" t="inlineStr">
        <is>
          <t>Bomet</t>
        </is>
      </c>
      <c r="F1245" s="345" t="inlineStr">
        <is>
          <t>1003</t>
        </is>
      </c>
    </row>
    <row r="1246">
      <c r="D1246" s="337" t="inlineStr">
        <is>
          <t>1923</t>
        </is>
      </c>
      <c r="E1246" s="335" t="inlineStr">
        <is>
          <t>Bungoma</t>
        </is>
      </c>
      <c r="F1246" s="345" t="inlineStr">
        <is>
          <t>1003</t>
        </is>
      </c>
    </row>
    <row r="1247">
      <c r="D1247" s="337" t="inlineStr">
        <is>
          <t>1927</t>
        </is>
      </c>
      <c r="E1247" s="335" t="inlineStr">
        <is>
          <t>Bunyala Road</t>
        </is>
      </c>
      <c r="F1247" s="345" t="inlineStr">
        <is>
          <t>1003</t>
        </is>
      </c>
    </row>
    <row r="1248">
      <c r="D1248" s="337" t="inlineStr">
        <is>
          <t>1263</t>
        </is>
      </c>
      <c r="E1248" s="335" t="inlineStr">
        <is>
          <t>Buruburu</t>
        </is>
      </c>
      <c r="F1248" s="345" t="inlineStr">
        <is>
          <t>1003</t>
        </is>
      </c>
    </row>
    <row r="1249">
      <c r="D1249" s="337" t="inlineStr">
        <is>
          <t>1315</t>
        </is>
      </c>
      <c r="E1249" s="335" t="inlineStr">
        <is>
          <t>Busia</t>
        </is>
      </c>
      <c r="F1249" s="345" t="inlineStr">
        <is>
          <t>1003</t>
        </is>
      </c>
    </row>
    <row r="1250">
      <c r="D1250" s="337" t="inlineStr">
        <is>
          <t>1310</t>
        </is>
      </c>
      <c r="E1250" s="335" t="inlineStr">
        <is>
          <t>Butere Road Branch</t>
        </is>
      </c>
      <c r="F1250" s="345" t="inlineStr">
        <is>
          <t>1003</t>
        </is>
      </c>
    </row>
    <row r="1251">
      <c r="D1251" s="337" t="inlineStr">
        <is>
          <t>1945</t>
        </is>
      </c>
      <c r="E1251" s="335" t="inlineStr">
        <is>
          <t>Cash Monitoring Unit</t>
        </is>
      </c>
      <c r="F1251" s="345" t="inlineStr">
        <is>
          <t>1003</t>
        </is>
      </c>
    </row>
    <row r="1252">
      <c r="D1252" s="337" t="inlineStr">
        <is>
          <t>1936</t>
        </is>
      </c>
      <c r="E1252" s="335" t="inlineStr">
        <is>
          <t>Changamwe Branch</t>
        </is>
      </c>
      <c r="F1252" s="345" t="inlineStr">
        <is>
          <t>1003</t>
        </is>
      </c>
    </row>
    <row r="1253">
      <c r="D1253" s="337" t="inlineStr">
        <is>
          <t>1273</t>
        </is>
      </c>
      <c r="E1253" s="335" t="inlineStr">
        <is>
          <t>Chomba House-river Road</t>
        </is>
      </c>
      <c r="F1253" s="345" t="inlineStr">
        <is>
          <t>1003</t>
        </is>
      </c>
    </row>
    <row r="1254">
      <c r="D1254" s="337" t="inlineStr">
        <is>
          <t>2371</t>
        </is>
      </c>
      <c r="E1254" s="335" t="inlineStr">
        <is>
          <t>Chuka Branch</t>
        </is>
      </c>
      <c r="F1254" s="345" t="inlineStr">
        <is>
          <t>1003</t>
        </is>
      </c>
    </row>
    <row r="1255">
      <c r="D1255" s="337" t="inlineStr">
        <is>
          <t>1949</t>
        </is>
      </c>
      <c r="E1255" s="335" t="inlineStr">
        <is>
          <t>Consumer Operations</t>
        </is>
      </c>
      <c r="F1255" s="345" t="inlineStr">
        <is>
          <t>1003</t>
        </is>
      </c>
    </row>
    <row r="1256">
      <c r="D1256" s="337" t="inlineStr">
        <is>
          <t>1953</t>
        </is>
      </c>
      <c r="E1256" s="335" t="inlineStr">
        <is>
          <t>Credit Operations</t>
        </is>
      </c>
      <c r="F1256" s="345" t="inlineStr">
        <is>
          <t>1003</t>
        </is>
      </c>
    </row>
    <row r="1257">
      <c r="D1257" s="337" t="inlineStr">
        <is>
          <t>1282</t>
        </is>
      </c>
      <c r="E1257" s="335" t="inlineStr">
        <is>
          <t>Development House Branch</t>
        </is>
      </c>
      <c r="F1257" s="345" t="inlineStr">
        <is>
          <t>1003</t>
        </is>
      </c>
    </row>
    <row r="1258">
      <c r="D1258" s="337" t="inlineStr">
        <is>
          <t>1929</t>
        </is>
      </c>
      <c r="E1258" s="335" t="inlineStr">
        <is>
          <t>Diani Branch</t>
        </is>
      </c>
      <c r="F1258" s="345" t="inlineStr">
        <is>
          <t>1003</t>
        </is>
      </c>
    </row>
    <row r="1259">
      <c r="D1259" s="337" t="inlineStr">
        <is>
          <t>1926</t>
        </is>
      </c>
      <c r="E1259" s="335" t="inlineStr">
        <is>
          <t>Digo Branch</t>
        </is>
      </c>
      <c r="F1259" s="345" t="inlineStr">
        <is>
          <t>1003</t>
        </is>
      </c>
    </row>
    <row r="1260">
      <c r="D1260" s="337" t="inlineStr">
        <is>
          <t>1951</t>
        </is>
      </c>
      <c r="E1260" s="335" t="inlineStr">
        <is>
          <t>Documents And Securities Dsc</t>
        </is>
      </c>
      <c r="F1260" s="345" t="inlineStr">
        <is>
          <t>1003</t>
        </is>
      </c>
    </row>
    <row r="1261">
      <c r="D1261" s="337" t="inlineStr">
        <is>
          <t>1251</t>
        </is>
      </c>
      <c r="E1261" s="335" t="inlineStr">
        <is>
          <t>Eastleigh Branch</t>
        </is>
      </c>
      <c r="F1261" s="345" t="inlineStr">
        <is>
          <t>1003</t>
        </is>
      </c>
    </row>
    <row r="1262">
      <c r="D1262" s="337" t="inlineStr">
        <is>
          <t>2355</t>
        </is>
      </c>
      <c r="E1262" s="335" t="inlineStr">
        <is>
          <t>Eldoret Branch</t>
        </is>
      </c>
      <c r="F1262" s="345" t="inlineStr">
        <is>
          <t>1003</t>
        </is>
      </c>
    </row>
    <row r="1263">
      <c r="D1263" s="337" t="inlineStr">
        <is>
          <t>2356</t>
        </is>
      </c>
      <c r="E1263" s="335" t="inlineStr">
        <is>
          <t>Embu Branch</t>
        </is>
      </c>
      <c r="F1263" s="345" t="inlineStr">
        <is>
          <t>1003</t>
        </is>
      </c>
    </row>
    <row r="1264">
      <c r="D1264" s="337" t="inlineStr">
        <is>
          <t>1302</t>
        </is>
      </c>
      <c r="E1264" s="335" t="inlineStr">
        <is>
          <t>Enterprise Road Branch</t>
        </is>
      </c>
      <c r="F1264" s="345" t="inlineStr">
        <is>
          <t>1003</t>
        </is>
      </c>
    </row>
    <row r="1265">
      <c r="D1265" s="337" t="inlineStr">
        <is>
          <t>1950</t>
        </is>
      </c>
      <c r="E1265" s="335" t="inlineStr">
        <is>
          <t>Finance Department</t>
        </is>
      </c>
      <c r="F1265" s="345" t="inlineStr">
        <is>
          <t>1003</t>
        </is>
      </c>
    </row>
    <row r="1266">
      <c r="D1266" s="337" t="inlineStr">
        <is>
          <t>1254</t>
        </is>
      </c>
      <c r="E1266" s="335" t="inlineStr">
        <is>
          <t>Garissa Branch</t>
        </is>
      </c>
      <c r="F1266" s="345" t="inlineStr">
        <is>
          <t>1003</t>
        </is>
      </c>
    </row>
    <row r="1267">
      <c r="D1267" s="337" t="inlineStr">
        <is>
          <t>1295</t>
        </is>
      </c>
      <c r="E1267" s="335" t="inlineStr">
        <is>
          <t>Gikomba</t>
        </is>
      </c>
      <c r="F1267" s="345" t="inlineStr">
        <is>
          <t>1003</t>
        </is>
      </c>
    </row>
    <row r="1268">
      <c r="D1268" s="337" t="inlineStr">
        <is>
          <t>1260</t>
        </is>
      </c>
      <c r="E1268" s="335" t="inlineStr">
        <is>
          <t>Gilgil Branch</t>
        </is>
      </c>
      <c r="F1268" s="345" t="inlineStr">
        <is>
          <t>1003</t>
        </is>
      </c>
    </row>
    <row r="1269">
      <c r="D1269" s="337" t="inlineStr">
        <is>
          <t>1311</t>
        </is>
      </c>
      <c r="E1269" s="335" t="inlineStr">
        <is>
          <t>Githunguri Branch</t>
        </is>
      </c>
      <c r="F1269" s="345" t="inlineStr">
        <is>
          <t>1003</t>
        </is>
      </c>
    </row>
    <row r="1270">
      <c r="D1270" s="337" t="inlineStr">
        <is>
          <t>2364</t>
        </is>
      </c>
      <c r="E1270" s="335" t="inlineStr">
        <is>
          <t>Githurai</t>
        </is>
      </c>
      <c r="F1270" s="345" t="inlineStr">
        <is>
          <t>1003</t>
        </is>
      </c>
    </row>
    <row r="1271">
      <c r="D1271" s="337" t="inlineStr">
        <is>
          <t>2377</t>
        </is>
      </c>
      <c r="E1271" s="335" t="inlineStr">
        <is>
          <t>Haile Selassie Avenue Branch</t>
        </is>
      </c>
      <c r="F1271" s="345" t="inlineStr">
        <is>
          <t>1003</t>
        </is>
      </c>
    </row>
    <row r="1272">
      <c r="D1272" s="337" t="inlineStr">
        <is>
          <t>1940</t>
        </is>
      </c>
      <c r="E1272" s="335" t="inlineStr">
        <is>
          <t>Harambee Ave - Premier Life Centre</t>
        </is>
      </c>
      <c r="F1272" s="345" t="inlineStr">
        <is>
          <t>1003</t>
        </is>
      </c>
    </row>
    <row r="1273">
      <c r="D1273" s="337" t="inlineStr">
        <is>
          <t>1954</t>
        </is>
      </c>
      <c r="E1273" s="335" t="inlineStr">
        <is>
          <t>Head office</t>
        </is>
      </c>
      <c r="F1273" s="345" t="inlineStr">
        <is>
          <t>1003</t>
        </is>
      </c>
    </row>
    <row r="1274">
      <c r="D1274" s="337" t="inlineStr">
        <is>
          <t>1238</t>
        </is>
      </c>
      <c r="E1274" s="335" t="inlineStr">
        <is>
          <t>Head Office - Vpc</t>
        </is>
      </c>
      <c r="F1274" s="345" t="inlineStr">
        <is>
          <t>1003</t>
        </is>
      </c>
    </row>
    <row r="1275">
      <c r="D1275" s="337" t="inlineStr">
        <is>
          <t>2493</t>
        </is>
      </c>
      <c r="E1275" s="335" t="inlineStr">
        <is>
          <t>Homa Bay Branch</t>
        </is>
      </c>
      <c r="F1275" s="345" t="inlineStr">
        <is>
          <t>1003</t>
        </is>
      </c>
    </row>
    <row r="1276">
      <c r="D1276" s="337" t="inlineStr">
        <is>
          <t>2367</t>
        </is>
      </c>
      <c r="E1276" s="335" t="inlineStr">
        <is>
          <t>Hurlingham Branch</t>
        </is>
      </c>
      <c r="F1276" s="345" t="inlineStr">
        <is>
          <t>1003</t>
        </is>
      </c>
    </row>
    <row r="1277">
      <c r="D1277" s="337" t="inlineStr">
        <is>
          <t>1277</t>
        </is>
      </c>
      <c r="E1277" s="335" t="inlineStr">
        <is>
          <t>Isiolo Branch</t>
        </is>
      </c>
      <c r="F1277" s="345" t="inlineStr">
        <is>
          <t>1003</t>
        </is>
      </c>
    </row>
    <row r="1278">
      <c r="D1278" s="337" t="inlineStr">
        <is>
          <t>1304</t>
        </is>
      </c>
      <c r="E1278" s="335" t="inlineStr">
        <is>
          <t>Juja Branch</t>
        </is>
      </c>
      <c r="F1278" s="345" t="inlineStr">
        <is>
          <t>1003</t>
        </is>
      </c>
    </row>
    <row r="1279">
      <c r="D1279" s="337" t="inlineStr">
        <is>
          <t>1294</t>
        </is>
      </c>
      <c r="E1279" s="335" t="inlineStr">
        <is>
          <t>Kabarnet Branch</t>
        </is>
      </c>
      <c r="F1279" s="345" t="inlineStr">
        <is>
          <t>1003</t>
        </is>
      </c>
    </row>
    <row r="1280">
      <c r="D1280" s="337" t="inlineStr">
        <is>
          <t>1922</t>
        </is>
      </c>
      <c r="E1280" s="335" t="inlineStr">
        <is>
          <t>Kakamega Branch</t>
        </is>
      </c>
      <c r="F1280" s="345" t="inlineStr">
        <is>
          <t>1003</t>
        </is>
      </c>
    </row>
    <row r="1281">
      <c r="D1281" s="337" t="inlineStr">
        <is>
          <t>1243</t>
        </is>
      </c>
      <c r="E1281" s="335" t="inlineStr">
        <is>
          <t>Kapenguria Branch</t>
        </is>
      </c>
      <c r="F1281" s="345" t="inlineStr">
        <is>
          <t>1003</t>
        </is>
      </c>
    </row>
    <row r="1282">
      <c r="D1282" s="337" t="inlineStr">
        <is>
          <t>1239</t>
        </is>
      </c>
      <c r="E1282" s="335" t="inlineStr">
        <is>
          <t>Kapsabet Branch</t>
        </is>
      </c>
      <c r="F1282" s="345" t="inlineStr">
        <is>
          <t>1003</t>
        </is>
      </c>
    </row>
    <row r="1283">
      <c r="D1283" s="337" t="inlineStr">
        <is>
          <t>1947</t>
        </is>
      </c>
      <c r="E1283" s="335" t="inlineStr">
        <is>
          <t>Karatina Branch</t>
        </is>
      </c>
      <c r="F1283" s="345" t="inlineStr">
        <is>
          <t>1003</t>
        </is>
      </c>
    </row>
    <row r="1284">
      <c r="D1284" s="337" t="inlineStr">
        <is>
          <t>2373</t>
        </is>
      </c>
      <c r="E1284" s="335" t="inlineStr">
        <is>
          <t>Karen Branch</t>
        </is>
      </c>
      <c r="F1284" s="345" t="inlineStr">
        <is>
          <t>1003</t>
        </is>
      </c>
    </row>
    <row r="1285">
      <c r="D1285" s="337" t="inlineStr">
        <is>
          <t>2380</t>
        </is>
      </c>
      <c r="E1285" s="335" t="inlineStr">
        <is>
          <t>Kariobangi Branch</t>
        </is>
      </c>
      <c r="F1285" s="345" t="inlineStr">
        <is>
          <t>1003</t>
        </is>
      </c>
    </row>
    <row r="1286">
      <c r="D1286" s="337" t="inlineStr">
        <is>
          <t>2469</t>
        </is>
      </c>
      <c r="E1286" s="335" t="inlineStr">
        <is>
          <t>Kasarani Branch</t>
        </is>
      </c>
      <c r="F1286" s="345" t="inlineStr">
        <is>
          <t>1003</t>
        </is>
      </c>
    </row>
    <row r="1287">
      <c r="D1287" s="337" t="inlineStr">
        <is>
          <t>2467</t>
        </is>
      </c>
      <c r="E1287" s="335" t="inlineStr">
        <is>
          <t>Kawangware</t>
        </is>
      </c>
      <c r="F1287" s="345" t="inlineStr">
        <is>
          <t>1003</t>
        </is>
      </c>
    </row>
    <row r="1288">
      <c r="D1288" s="337" t="inlineStr">
        <is>
          <t>1308</t>
        </is>
      </c>
      <c r="E1288" s="335" t="inlineStr">
        <is>
          <t>Kenyatta Avenue</t>
        </is>
      </c>
      <c r="F1288" s="345" t="inlineStr">
        <is>
          <t>1003</t>
        </is>
      </c>
    </row>
    <row r="1289">
      <c r="D1289" s="337" t="inlineStr">
        <is>
          <t>2463</t>
        </is>
      </c>
      <c r="E1289" s="335" t="inlineStr">
        <is>
          <t>Kericho Branch</t>
        </is>
      </c>
      <c r="F1289" s="345" t="inlineStr">
        <is>
          <t>1003</t>
        </is>
      </c>
    </row>
    <row r="1290">
      <c r="D1290" s="337" t="inlineStr">
        <is>
          <t>2494</t>
        </is>
      </c>
      <c r="E1290" s="335" t="inlineStr">
        <is>
          <t>Kerugoya Branch</t>
        </is>
      </c>
      <c r="F1290" s="345" t="inlineStr">
        <is>
          <t>1003</t>
        </is>
      </c>
    </row>
    <row r="1291">
      <c r="D1291" s="337" t="inlineStr">
        <is>
          <t>1306</t>
        </is>
      </c>
      <c r="E1291" s="335" t="inlineStr">
        <is>
          <t>Kikuyu Branch</t>
        </is>
      </c>
      <c r="F1291" s="345" t="inlineStr">
        <is>
          <t>1003</t>
        </is>
      </c>
    </row>
    <row r="1292">
      <c r="D1292" s="337" t="inlineStr">
        <is>
          <t>2363</t>
        </is>
      </c>
      <c r="E1292" s="335" t="inlineStr">
        <is>
          <t>Kilifi Branch</t>
        </is>
      </c>
      <c r="F1292" s="345" t="inlineStr">
        <is>
          <t>1003</t>
        </is>
      </c>
    </row>
    <row r="1293">
      <c r="D1293" s="337" t="inlineStr">
        <is>
          <t>1925</t>
        </is>
      </c>
      <c r="E1293" s="335" t="inlineStr">
        <is>
          <t>Kiriaini Branch</t>
        </is>
      </c>
      <c r="F1293" s="345" t="inlineStr">
        <is>
          <t>1003</t>
        </is>
      </c>
    </row>
    <row r="1294">
      <c r="D1294" s="337" t="inlineStr">
        <is>
          <t>2464</t>
        </is>
      </c>
      <c r="E1294" s="335" t="inlineStr">
        <is>
          <t>Kisii Branch</t>
        </is>
      </c>
      <c r="F1294" s="345" t="inlineStr">
        <is>
          <t>1003</t>
        </is>
      </c>
    </row>
    <row r="1295">
      <c r="D1295" s="337" t="inlineStr">
        <is>
          <t>2465</t>
        </is>
      </c>
      <c r="E1295" s="335" t="inlineStr">
        <is>
          <t>Kisumu Branch</t>
        </is>
      </c>
      <c r="F1295" s="345" t="inlineStr">
        <is>
          <t>1003</t>
        </is>
      </c>
    </row>
    <row r="1296">
      <c r="D1296" s="337" t="inlineStr">
        <is>
          <t>1941</t>
        </is>
      </c>
      <c r="E1296" s="335" t="inlineStr">
        <is>
          <t>Kitale Branch</t>
        </is>
      </c>
      <c r="F1296" s="345" t="inlineStr">
        <is>
          <t>1003</t>
        </is>
      </c>
    </row>
    <row r="1297">
      <c r="D1297" s="337" t="inlineStr">
        <is>
          <t>2361</t>
        </is>
      </c>
      <c r="E1297" s="335" t="inlineStr">
        <is>
          <t>Kitui Branch</t>
        </is>
      </c>
      <c r="F1297" s="345" t="inlineStr">
        <is>
          <t>1003</t>
        </is>
      </c>
    </row>
    <row r="1298">
      <c r="D1298" s="337" t="inlineStr">
        <is>
          <t>1283</t>
        </is>
      </c>
      <c r="E1298" s="335" t="inlineStr">
        <is>
          <t>Lavington Branch</t>
        </is>
      </c>
      <c r="F1298" s="345" t="inlineStr">
        <is>
          <t>1003</t>
        </is>
      </c>
    </row>
    <row r="1299">
      <c r="D1299" s="337" t="inlineStr">
        <is>
          <t>2358</t>
        </is>
      </c>
      <c r="E1299" s="335" t="inlineStr">
        <is>
          <t>Limuru Branch</t>
        </is>
      </c>
      <c r="F1299" s="345" t="inlineStr">
        <is>
          <t>1003</t>
        </is>
      </c>
    </row>
    <row r="1300">
      <c r="D1300" s="337" t="inlineStr">
        <is>
          <t>2366</t>
        </is>
      </c>
      <c r="E1300" s="335" t="inlineStr">
        <is>
          <t>Machakos Branch</t>
        </is>
      </c>
      <c r="F1300" s="345" t="inlineStr">
        <is>
          <t>1003</t>
        </is>
      </c>
    </row>
    <row r="1301">
      <c r="D1301" s="337" t="inlineStr">
        <is>
          <t>2468</t>
        </is>
      </c>
      <c r="E1301" s="335" t="inlineStr">
        <is>
          <t>Makupa Branch</t>
        </is>
      </c>
      <c r="F1301" s="345" t="inlineStr">
        <is>
          <t>1003</t>
        </is>
      </c>
    </row>
    <row r="1302">
      <c r="D1302" s="337" t="inlineStr">
        <is>
          <t>2359</t>
        </is>
      </c>
      <c r="E1302" s="335" t="inlineStr">
        <is>
          <t>Malindi Branch</t>
        </is>
      </c>
      <c r="F1302" s="345" t="inlineStr">
        <is>
          <t>1003</t>
        </is>
      </c>
    </row>
    <row r="1303">
      <c r="D1303" s="337" t="inlineStr">
        <is>
          <t>1935</t>
        </is>
      </c>
      <c r="E1303" s="335" t="inlineStr">
        <is>
          <t>Market Branch</t>
        </is>
      </c>
      <c r="F1303" s="345" t="inlineStr">
        <is>
          <t>1003</t>
        </is>
      </c>
    </row>
    <row r="1304">
      <c r="D1304" s="337" t="inlineStr">
        <is>
          <t>2492</t>
        </is>
      </c>
      <c r="E1304" s="335" t="inlineStr">
        <is>
          <t>Maua Branch</t>
        </is>
      </c>
      <c r="F1304" s="345" t="inlineStr">
        <is>
          <t>1003</t>
        </is>
      </c>
    </row>
    <row r="1305">
      <c r="D1305" s="337" t="inlineStr">
        <is>
          <t>1284</t>
        </is>
      </c>
      <c r="E1305" s="335" t="inlineStr">
        <is>
          <t>Mbale</t>
        </is>
      </c>
      <c r="F1305" s="345" t="inlineStr">
        <is>
          <t>1003</t>
        </is>
      </c>
    </row>
    <row r="1306">
      <c r="D1306" s="337" t="inlineStr">
        <is>
          <t>2360</t>
        </is>
      </c>
      <c r="E1306" s="335" t="inlineStr">
        <is>
          <t>Meru Branch</t>
        </is>
      </c>
      <c r="F1306" s="345" t="inlineStr">
        <is>
          <t>1003</t>
        </is>
      </c>
    </row>
    <row r="1307">
      <c r="D1307" s="337" t="inlineStr">
        <is>
          <t>2495</t>
        </is>
      </c>
      <c r="E1307" s="335" t="inlineStr">
        <is>
          <t>Migori Branch</t>
        </is>
      </c>
      <c r="F1307" s="345" t="inlineStr">
        <is>
          <t>1003</t>
        </is>
      </c>
    </row>
    <row r="1308">
      <c r="D1308" s="337" t="inlineStr">
        <is>
          <t>1944</t>
        </is>
      </c>
      <c r="E1308" s="335" t="inlineStr">
        <is>
          <t>Moi Avenue Mombasa - Premier Life Centre</t>
        </is>
      </c>
      <c r="F1308" s="345" t="inlineStr">
        <is>
          <t>1003</t>
        </is>
      </c>
    </row>
    <row r="1309">
      <c r="D1309" s="337" t="inlineStr">
        <is>
          <t>2376</t>
        </is>
      </c>
      <c r="E1309" s="335" t="inlineStr">
        <is>
          <t>Moi Avenue-nairobi Branch</t>
        </is>
      </c>
      <c r="F1309" s="345" t="inlineStr">
        <is>
          <t>1003</t>
        </is>
      </c>
    </row>
    <row r="1310">
      <c r="D1310" s="337" t="inlineStr">
        <is>
          <t>1948</t>
        </is>
      </c>
      <c r="E1310" s="335" t="inlineStr">
        <is>
          <t>Mombasa Nyerere Ave - Premier Life Centre</t>
        </is>
      </c>
      <c r="F1310" s="345" t="inlineStr">
        <is>
          <t>1003</t>
        </is>
      </c>
    </row>
    <row r="1311">
      <c r="D1311" s="337" t="inlineStr">
        <is>
          <t>1276</t>
        </is>
      </c>
      <c r="E1311" s="335" t="inlineStr">
        <is>
          <t>Mumias Branch</t>
        </is>
      </c>
      <c r="F1311" s="345" t="inlineStr">
        <is>
          <t>1003</t>
        </is>
      </c>
    </row>
    <row r="1312">
      <c r="D1312" s="337" t="inlineStr">
        <is>
          <t>2491</t>
        </is>
      </c>
      <c r="E1312" s="335" t="inlineStr">
        <is>
          <t>Murang A Branch</t>
        </is>
      </c>
      <c r="F1312" s="345" t="inlineStr">
        <is>
          <t>1003</t>
        </is>
      </c>
    </row>
    <row r="1313">
      <c r="D1313" s="337" t="inlineStr">
        <is>
          <t>2369</t>
        </is>
      </c>
      <c r="E1313" s="335" t="inlineStr">
        <is>
          <t>Muthaiga Branch</t>
        </is>
      </c>
      <c r="F1313" s="345" t="inlineStr">
        <is>
          <t>1003</t>
        </is>
      </c>
    </row>
    <row r="1314">
      <c r="D1314" s="337" t="inlineStr">
        <is>
          <t>1930</t>
        </is>
      </c>
      <c r="E1314" s="335" t="inlineStr">
        <is>
          <t>Nairobi J.k.i.a Branch</t>
        </is>
      </c>
      <c r="F1314" s="345" t="inlineStr">
        <is>
          <t>1003</t>
        </is>
      </c>
    </row>
    <row r="1315">
      <c r="D1315" s="337" t="inlineStr">
        <is>
          <t>1313</t>
        </is>
      </c>
      <c r="E1315" s="335" t="inlineStr">
        <is>
          <t>Nairobi University Branch</t>
        </is>
      </c>
      <c r="F1315" s="345" t="inlineStr">
        <is>
          <t>1003</t>
        </is>
      </c>
    </row>
    <row r="1316">
      <c r="D1316" s="337" t="inlineStr">
        <is>
          <t>1928</t>
        </is>
      </c>
      <c r="E1316" s="335" t="inlineStr">
        <is>
          <t>Nairobi West Branch</t>
        </is>
      </c>
      <c r="F1316" s="345" t="inlineStr">
        <is>
          <t>1003</t>
        </is>
      </c>
    </row>
    <row r="1317">
      <c r="D1317" s="337" t="inlineStr">
        <is>
          <t>1934</t>
        </is>
      </c>
      <c r="E1317" s="335" t="inlineStr">
        <is>
          <t>Naivasha Branch</t>
        </is>
      </c>
      <c r="F1317" s="345" t="inlineStr">
        <is>
          <t>1003</t>
        </is>
      </c>
    </row>
    <row r="1318">
      <c r="D1318" s="337" t="inlineStr">
        <is>
          <t>1317</t>
        </is>
      </c>
      <c r="E1318" s="335" t="inlineStr">
        <is>
          <t>Nakumatt Embakasi Branch</t>
        </is>
      </c>
      <c r="F1318" s="345" t="inlineStr">
        <is>
          <t>1003</t>
        </is>
      </c>
    </row>
    <row r="1319">
      <c r="D1319" s="337" t="inlineStr">
        <is>
          <t>1303</t>
        </is>
      </c>
      <c r="E1319" s="335" t="inlineStr">
        <is>
          <t>Nakumatt Meru Branch</t>
        </is>
      </c>
      <c r="F1319" s="345" t="inlineStr">
        <is>
          <t>1003</t>
        </is>
      </c>
    </row>
    <row r="1320">
      <c r="D1320" s="337" t="inlineStr">
        <is>
          <t>2372</t>
        </is>
      </c>
      <c r="E1320" s="335" t="inlineStr">
        <is>
          <t>Nakumatt-westgate Branch</t>
        </is>
      </c>
      <c r="F1320" s="345" t="inlineStr">
        <is>
          <t>1003</t>
        </is>
      </c>
    </row>
    <row r="1321">
      <c r="D1321" s="337" t="inlineStr">
        <is>
          <t>1262</t>
        </is>
      </c>
      <c r="E1321" s="335" t="inlineStr">
        <is>
          <t>Nakuru East</t>
        </is>
      </c>
      <c r="F1321" s="345" t="inlineStr">
        <is>
          <t>1003</t>
        </is>
      </c>
    </row>
    <row r="1322">
      <c r="D1322" s="337" t="inlineStr">
        <is>
          <t>1938</t>
        </is>
      </c>
      <c r="E1322" s="335" t="inlineStr">
        <is>
          <t>Nakuru West Branch</t>
        </is>
      </c>
      <c r="F1322" s="345" t="inlineStr">
        <is>
          <t>1003</t>
        </is>
      </c>
    </row>
    <row r="1323">
      <c r="D1323" s="337" t="inlineStr">
        <is>
          <t>1946</t>
        </is>
      </c>
      <c r="E1323" s="335" t="inlineStr">
        <is>
          <t>Nanyuki Branch</t>
        </is>
      </c>
      <c r="F1323" s="345" t="inlineStr">
        <is>
          <t>1003</t>
        </is>
      </c>
    </row>
    <row r="1324">
      <c r="D1324" s="337" t="inlineStr">
        <is>
          <t>1279</t>
        </is>
      </c>
      <c r="E1324" s="335" t="inlineStr">
        <is>
          <t>Narok Branch</t>
        </is>
      </c>
      <c r="F1324" s="345" t="inlineStr">
        <is>
          <t>1003</t>
        </is>
      </c>
    </row>
    <row r="1325">
      <c r="D1325" s="337" t="inlineStr">
        <is>
          <t>1278</t>
        </is>
      </c>
      <c r="E1325" s="335" t="inlineStr">
        <is>
          <t>Ngong Branch</t>
        </is>
      </c>
      <c r="F1325" s="345" t="inlineStr">
        <is>
          <t>1003</t>
        </is>
      </c>
    </row>
    <row r="1326">
      <c r="D1326" s="337" t="inlineStr">
        <is>
          <t>2362</t>
        </is>
      </c>
      <c r="E1326" s="335" t="inlineStr">
        <is>
          <t>Nkrumah Road Branch</t>
        </is>
      </c>
      <c r="F1326" s="345" t="inlineStr">
        <is>
          <t>1003</t>
        </is>
      </c>
    </row>
    <row r="1327">
      <c r="D1327" s="337" t="inlineStr">
        <is>
          <t>1942</t>
        </is>
      </c>
      <c r="E1327" s="335" t="inlineStr">
        <is>
          <t>Nyahururu Branch</t>
        </is>
      </c>
      <c r="F1327" s="345" t="inlineStr">
        <is>
          <t>1003</t>
        </is>
      </c>
    </row>
    <row r="1328">
      <c r="D1328" s="337" t="inlineStr">
        <is>
          <t>1255</t>
        </is>
      </c>
      <c r="E1328" s="335" t="inlineStr">
        <is>
          <t>Nyamira Branch</t>
        </is>
      </c>
      <c r="F1328" s="345" t="inlineStr">
        <is>
          <t>1003</t>
        </is>
      </c>
    </row>
    <row r="1329">
      <c r="D1329" s="337" t="inlineStr">
        <is>
          <t>2466</t>
        </is>
      </c>
      <c r="E1329" s="335" t="inlineStr">
        <is>
          <t>Nyeri Branch</t>
        </is>
      </c>
      <c r="F1329" s="345" t="inlineStr">
        <is>
          <t>1003</t>
        </is>
      </c>
    </row>
    <row r="1330">
      <c r="D1330" s="337" t="inlineStr">
        <is>
          <t>1257</t>
        </is>
      </c>
      <c r="E1330" s="335" t="inlineStr">
        <is>
          <t>Office Park Westlands</t>
        </is>
      </c>
      <c r="F1330" s="345" t="inlineStr">
        <is>
          <t>1003</t>
        </is>
      </c>
    </row>
    <row r="1331">
      <c r="D1331" s="337" t="inlineStr">
        <is>
          <t>1285</t>
        </is>
      </c>
      <c r="E1331" s="335" t="inlineStr">
        <is>
          <t>Ongata Rongai Branch</t>
        </is>
      </c>
      <c r="F1331" s="345" t="inlineStr">
        <is>
          <t>1003</t>
        </is>
      </c>
    </row>
    <row r="1332">
      <c r="D1332" s="337" t="inlineStr">
        <is>
          <t>1286</t>
        </is>
      </c>
      <c r="E1332" s="335" t="inlineStr">
        <is>
          <t>Othaya Branch</t>
        </is>
      </c>
      <c r="F1332" s="345" t="inlineStr">
        <is>
          <t>1003</t>
        </is>
      </c>
    </row>
    <row r="1333">
      <c r="D1333" s="337" t="inlineStr">
        <is>
          <t>1300</t>
        </is>
      </c>
      <c r="E1333" s="335" t="inlineStr">
        <is>
          <t>Pamoja Branch</t>
        </is>
      </c>
      <c r="F1333" s="345" t="inlineStr">
        <is>
          <t>1003</t>
        </is>
      </c>
    </row>
    <row r="1334">
      <c r="D1334" s="337" t="inlineStr">
        <is>
          <t>2378</t>
        </is>
      </c>
      <c r="E1334" s="335" t="inlineStr">
        <is>
          <t>Pangani Branch</t>
        </is>
      </c>
      <c r="F1334" s="345" t="inlineStr">
        <is>
          <t>1003</t>
        </is>
      </c>
    </row>
    <row r="1335">
      <c r="D1335" s="337" t="inlineStr">
        <is>
          <t>2470</t>
        </is>
      </c>
      <c r="E1335" s="335" t="inlineStr">
        <is>
          <t>Parklands</t>
        </is>
      </c>
      <c r="F1335" s="345" t="inlineStr">
        <is>
          <t>1003</t>
        </is>
      </c>
    </row>
    <row r="1336">
      <c r="D1336" s="337" t="inlineStr">
        <is>
          <t>1259</t>
        </is>
      </c>
      <c r="E1336" s="335" t="inlineStr">
        <is>
          <t>Paymants And International Services</t>
        </is>
      </c>
      <c r="F1336" s="345" t="inlineStr">
        <is>
          <t>1003</t>
        </is>
      </c>
    </row>
    <row r="1337">
      <c r="D1337" s="337" t="inlineStr">
        <is>
          <t>1271</t>
        </is>
      </c>
      <c r="E1337" s="335" t="inlineStr">
        <is>
          <t>Plaza Premier Centre</t>
        </is>
      </c>
      <c r="F1337" s="345" t="inlineStr">
        <is>
          <t>1003</t>
        </is>
      </c>
    </row>
    <row r="1338">
      <c r="D1338" s="337" t="inlineStr">
        <is>
          <t>1267</t>
        </is>
      </c>
      <c r="E1338" s="335" t="inlineStr">
        <is>
          <t>Port Mombasa</t>
        </is>
      </c>
      <c r="F1338" s="345" t="inlineStr">
        <is>
          <t>1003</t>
        </is>
      </c>
    </row>
    <row r="1339">
      <c r="D1339" s="337" t="inlineStr">
        <is>
          <t>1316</t>
        </is>
      </c>
      <c r="E1339" s="335" t="inlineStr">
        <is>
          <t>Queensway House Branch</t>
        </is>
      </c>
      <c r="F1339" s="345" t="inlineStr">
        <is>
          <t>1003</t>
        </is>
      </c>
    </row>
    <row r="1340">
      <c r="D1340" s="337" t="inlineStr">
        <is>
          <t>1937</t>
        </is>
      </c>
      <c r="E1340" s="335" t="inlineStr">
        <is>
          <t>Rahimtulla Trust Towers - Premier Life Centre</t>
        </is>
      </c>
      <c r="F1340" s="345" t="inlineStr">
        <is>
          <t>1003</t>
        </is>
      </c>
    </row>
    <row r="1341">
      <c r="D1341" s="337" t="inlineStr">
        <is>
          <t>1952</t>
        </is>
      </c>
      <c r="E1341" s="335" t="inlineStr">
        <is>
          <t>Retail Credit Team</t>
        </is>
      </c>
      <c r="F1341" s="345" t="inlineStr">
        <is>
          <t>1003</t>
        </is>
      </c>
    </row>
    <row r="1342">
      <c r="D1342" s="337" t="inlineStr">
        <is>
          <t>1272</t>
        </is>
      </c>
      <c r="E1342" s="335" t="inlineStr">
        <is>
          <t>River Road Branch</t>
        </is>
      </c>
      <c r="F1342" s="345" t="inlineStr">
        <is>
          <t>1003</t>
        </is>
      </c>
    </row>
    <row r="1343">
      <c r="D1343" s="337" t="inlineStr">
        <is>
          <t>2374</t>
        </is>
      </c>
      <c r="E1343" s="335" t="inlineStr">
        <is>
          <t>Ruaraka Branch</t>
        </is>
      </c>
      <c r="F1343" s="345" t="inlineStr">
        <is>
          <t>1003</t>
        </is>
      </c>
    </row>
    <row r="1344">
      <c r="D1344" s="337" t="inlineStr">
        <is>
          <t>1932</t>
        </is>
      </c>
      <c r="E1344" s="335" t="inlineStr">
        <is>
          <t>Sarit Centre - Premier Life Centre</t>
        </is>
      </c>
      <c r="F1344" s="345" t="inlineStr">
        <is>
          <t>1003</t>
        </is>
      </c>
    </row>
    <row r="1345">
      <c r="D1345" s="337" t="inlineStr">
        <is>
          <t>1247</t>
        </is>
      </c>
      <c r="E1345" s="335" t="inlineStr">
        <is>
          <t>South C Branch</t>
        </is>
      </c>
      <c r="F1345" s="345" t="inlineStr">
        <is>
          <t>1003</t>
        </is>
      </c>
    </row>
    <row r="1346">
      <c r="D1346" s="337" t="inlineStr">
        <is>
          <t>2368</t>
        </is>
      </c>
      <c r="E1346" s="335" t="inlineStr">
        <is>
          <t>Tala</t>
        </is>
      </c>
      <c r="F1346" s="345" t="inlineStr">
        <is>
          <t>1003</t>
        </is>
      </c>
    </row>
    <row r="1347">
      <c r="D1347" s="337" t="inlineStr">
        <is>
          <t>1296</t>
        </is>
      </c>
      <c r="E1347" s="335" t="inlineStr">
        <is>
          <t>Taveta Branch</t>
        </is>
      </c>
      <c r="F1347" s="345" t="inlineStr">
        <is>
          <t>1003</t>
        </is>
      </c>
    </row>
    <row r="1348">
      <c r="D1348" s="337" t="inlineStr">
        <is>
          <t>2365</t>
        </is>
      </c>
      <c r="E1348" s="335" t="inlineStr">
        <is>
          <t>Thika Branch</t>
        </is>
      </c>
      <c r="F1348" s="345" t="inlineStr">
        <is>
          <t>1003</t>
        </is>
      </c>
    </row>
    <row r="1349">
      <c r="D1349" s="337" t="inlineStr">
        <is>
          <t>1943</t>
        </is>
      </c>
      <c r="E1349" s="335" t="inlineStr">
        <is>
          <t>Treasury Operations</t>
        </is>
      </c>
      <c r="F1349" s="345" t="inlineStr">
        <is>
          <t>1003</t>
        </is>
      </c>
    </row>
    <row r="1350">
      <c r="D1350" s="337" t="inlineStr">
        <is>
          <t>1931</t>
        </is>
      </c>
      <c r="E1350" s="335" t="inlineStr">
        <is>
          <t>Village Market - Premier Life Centre</t>
        </is>
      </c>
      <c r="F1350" s="345" t="inlineStr">
        <is>
          <t>1003</t>
        </is>
      </c>
    </row>
    <row r="1351">
      <c r="D1351" s="337" t="inlineStr">
        <is>
          <t>1287</t>
        </is>
      </c>
      <c r="E1351" s="335" t="inlineStr">
        <is>
          <t>Voi Branch</t>
        </is>
      </c>
      <c r="F1351" s="345" t="inlineStr">
        <is>
          <t>1003</t>
        </is>
      </c>
    </row>
    <row r="1352">
      <c r="D1352" s="337" t="inlineStr">
        <is>
          <t>2370</t>
        </is>
      </c>
      <c r="E1352" s="335" t="inlineStr">
        <is>
          <t>Webuye Branch</t>
        </is>
      </c>
      <c r="F1352" s="345" t="inlineStr">
        <is>
          <t>1003</t>
        </is>
      </c>
    </row>
    <row r="1353">
      <c r="D1353" s="337" t="inlineStr">
        <is>
          <t>2375</t>
        </is>
      </c>
      <c r="E1353" s="335" t="inlineStr">
        <is>
          <t>Westlands Branch</t>
        </is>
      </c>
      <c r="F1353" s="345" t="inlineStr">
        <is>
          <t>1003</t>
        </is>
      </c>
    </row>
    <row r="1354">
      <c r="D1354" s="337" t="inlineStr">
        <is>
          <t>1301</t>
        </is>
      </c>
      <c r="E1354" s="335" t="inlineStr">
        <is>
          <t>Wote Branch</t>
        </is>
      </c>
      <c r="F1354" s="345" t="inlineStr">
        <is>
          <t>1003</t>
        </is>
      </c>
    </row>
    <row r="1355">
      <c r="D1355" s="337" t="inlineStr">
        <is>
          <t>1298</t>
        </is>
      </c>
      <c r="E1355" s="335" t="inlineStr">
        <is>
          <t>Wundanyi Branch</t>
        </is>
      </c>
      <c r="F1355" s="345" t="inlineStr">
        <is>
          <t>1003</t>
        </is>
      </c>
    </row>
    <row r="1356">
      <c r="D1356" s="337" t="inlineStr">
        <is>
          <t>1933</t>
        </is>
      </c>
      <c r="E1356" s="335" t="inlineStr">
        <is>
          <t>Yaya Centre- Premier Life Centre</t>
        </is>
      </c>
      <c r="F1356" s="345" t="inlineStr">
        <is>
          <t>1003</t>
        </is>
      </c>
    </row>
    <row r="1357">
      <c r="D1357" s="346" t="inlineStr">
        <is>
          <t>1955</t>
        </is>
      </c>
      <c r="E1357" s="336" t="inlineStr">
        <is>
          <t>Industrial Area</t>
        </is>
      </c>
      <c r="F1357" s="347" t="inlineStr">
        <is>
          <t>1004</t>
        </is>
      </c>
    </row>
    <row r="1358">
      <c r="D1358" s="346" t="inlineStr">
        <is>
          <t>1320</t>
        </is>
      </c>
      <c r="E1358" s="336" t="inlineStr">
        <is>
          <t>Kenyatta Avenue , Nairobi</t>
        </is>
      </c>
      <c r="F1358" s="347" t="inlineStr">
        <is>
          <t>1004</t>
        </is>
      </c>
    </row>
    <row r="1359">
      <c r="D1359" s="346" t="inlineStr">
        <is>
          <t>1321</t>
        </is>
      </c>
      <c r="E1359" s="336" t="inlineStr">
        <is>
          <t>Nkrumah Road , Mombasa</t>
        </is>
      </c>
      <c r="F1359" s="347" t="inlineStr">
        <is>
          <t>1004</t>
        </is>
      </c>
    </row>
    <row r="1360">
      <c r="D1360" s="346" t="inlineStr">
        <is>
          <t>1956</t>
        </is>
      </c>
      <c r="E1360" s="336" t="inlineStr">
        <is>
          <t>Westlands</t>
        </is>
      </c>
      <c r="F1360" s="347" t="inlineStr">
        <is>
          <t>1004</t>
        </is>
      </c>
    </row>
    <row r="1361">
      <c r="D1361" s="337" t="inlineStr">
        <is>
          <t>2496</t>
        </is>
      </c>
      <c r="E1361" s="335" t="inlineStr">
        <is>
          <t>Digo Road, Mombasa</t>
        </is>
      </c>
      <c r="F1361" s="345" t="inlineStr">
        <is>
          <t>1005</t>
        </is>
      </c>
    </row>
    <row r="1362">
      <c r="D1362" s="337" t="inlineStr">
        <is>
          <t>1330</t>
        </is>
      </c>
      <c r="E1362" s="335" t="inlineStr">
        <is>
          <t>ELDORET</t>
        </is>
      </c>
      <c r="F1362" s="345" t="inlineStr">
        <is>
          <t>1005</t>
        </is>
      </c>
    </row>
    <row r="1363">
      <c r="D1363" s="337" t="inlineStr">
        <is>
          <t>1329</t>
        </is>
      </c>
      <c r="E1363" s="335" t="inlineStr">
        <is>
          <t>Industrial Area</t>
        </is>
      </c>
      <c r="F1363" s="345" t="inlineStr">
        <is>
          <t>1005</t>
        </is>
      </c>
    </row>
    <row r="1364">
      <c r="D1364" s="337" t="inlineStr">
        <is>
          <t>1958</t>
        </is>
      </c>
      <c r="E1364" s="335" t="inlineStr">
        <is>
          <t>Kakamega</t>
        </is>
      </c>
      <c r="F1364" s="345" t="inlineStr">
        <is>
          <t>1005</t>
        </is>
      </c>
    </row>
    <row r="1365">
      <c r="D1365" s="337" t="inlineStr">
        <is>
          <t>1327</t>
        </is>
      </c>
      <c r="E1365" s="335" t="inlineStr">
        <is>
          <t>Kisumu</t>
        </is>
      </c>
      <c r="F1365" s="345" t="inlineStr">
        <is>
          <t>1005</t>
        </is>
      </c>
    </row>
    <row r="1366">
      <c r="D1366" s="337" t="inlineStr">
        <is>
          <t>1322</t>
        </is>
      </c>
      <c r="E1366" s="335" t="inlineStr">
        <is>
          <t>Nairobi Main</t>
        </is>
      </c>
      <c r="F1366" s="345" t="inlineStr">
        <is>
          <t>1005</t>
        </is>
      </c>
    </row>
    <row r="1367">
      <c r="D1367" s="337" t="inlineStr">
        <is>
          <t>1957</t>
        </is>
      </c>
      <c r="E1367" s="335" t="inlineStr">
        <is>
          <t>Nakuru</t>
        </is>
      </c>
      <c r="F1367" s="345" t="inlineStr">
        <is>
          <t>1005</t>
        </is>
      </c>
    </row>
    <row r="1368">
      <c r="D1368" s="337" t="inlineStr">
        <is>
          <t>1959</t>
        </is>
      </c>
      <c r="E1368" s="335" t="inlineStr">
        <is>
          <t>Nyali Mombasa</t>
        </is>
      </c>
      <c r="F1368" s="345" t="inlineStr">
        <is>
          <t>1005</t>
        </is>
      </c>
    </row>
    <row r="1369">
      <c r="D1369" s="337" t="inlineStr">
        <is>
          <t>1328</t>
        </is>
      </c>
      <c r="E1369" s="335" t="inlineStr">
        <is>
          <t>SARIT CENTRE</t>
        </is>
      </c>
      <c r="F1369" s="345" t="inlineStr">
        <is>
          <t>1005</t>
        </is>
      </c>
    </row>
    <row r="1370">
      <c r="D1370" s="337" t="inlineStr">
        <is>
          <t>1326</t>
        </is>
      </c>
      <c r="E1370" s="335" t="inlineStr">
        <is>
          <t>Thika</t>
        </is>
      </c>
      <c r="F1370" s="345" t="inlineStr">
        <is>
          <t>1005</t>
        </is>
      </c>
    </row>
    <row r="1371">
      <c r="D1371" s="346" t="inlineStr">
        <is>
          <t>1972</t>
        </is>
      </c>
      <c r="E1371" s="336" t="inlineStr">
        <is>
          <t>Bamburi</t>
        </is>
      </c>
      <c r="F1371" s="347" t="inlineStr">
        <is>
          <t>1006</t>
        </is>
      </c>
    </row>
    <row r="1372">
      <c r="D1372" s="346" t="inlineStr">
        <is>
          <t>1966</t>
        </is>
      </c>
      <c r="E1372" s="336" t="inlineStr">
        <is>
          <t>Cargo Centre</t>
        </is>
      </c>
      <c r="F1372" s="347" t="inlineStr">
        <is>
          <t>1006</t>
        </is>
      </c>
    </row>
    <row r="1373">
      <c r="D1373" s="346" t="inlineStr">
        <is>
          <t>1974</t>
        </is>
      </c>
      <c r="E1373" s="336" t="inlineStr">
        <is>
          <t>Changamwe</t>
        </is>
      </c>
      <c r="F1373" s="347" t="inlineStr">
        <is>
          <t>1006</t>
        </is>
      </c>
    </row>
    <row r="1374">
      <c r="D1374" s="346" t="inlineStr">
        <is>
          <t>1973</t>
        </is>
      </c>
      <c r="E1374" s="336" t="inlineStr">
        <is>
          <t>Diani</t>
        </is>
      </c>
      <c r="F1374" s="347" t="inlineStr">
        <is>
          <t>1006</t>
        </is>
      </c>
    </row>
    <row r="1375">
      <c r="D1375" s="346" t="inlineStr">
        <is>
          <t>1975</t>
        </is>
      </c>
      <c r="E1375" s="336" t="inlineStr">
        <is>
          <t>Eldoret</t>
        </is>
      </c>
      <c r="F1375" s="347" t="inlineStr">
        <is>
          <t>1006</t>
        </is>
      </c>
    </row>
    <row r="1376">
      <c r="D1376" s="346" t="inlineStr">
        <is>
          <t>1968</t>
        </is>
      </c>
      <c r="E1376" s="336" t="inlineStr">
        <is>
          <t>Galleria Mall</t>
        </is>
      </c>
      <c r="F1376" s="347" t="inlineStr">
        <is>
          <t>1006</t>
        </is>
      </c>
    </row>
    <row r="1377">
      <c r="D1377" s="346" t="inlineStr">
        <is>
          <t>1331</t>
        </is>
      </c>
      <c r="E1377" s="336" t="inlineStr">
        <is>
          <t>Head Office</t>
        </is>
      </c>
      <c r="F1377" s="347" t="inlineStr">
        <is>
          <t>1006</t>
        </is>
      </c>
    </row>
    <row r="1378">
      <c r="D1378" s="346" t="inlineStr">
        <is>
          <t>1964</t>
        </is>
      </c>
      <c r="E1378" s="336" t="inlineStr">
        <is>
          <t>Industrial Area</t>
        </is>
      </c>
      <c r="F1378" s="347" t="inlineStr">
        <is>
          <t>1006</t>
        </is>
      </c>
    </row>
    <row r="1379">
      <c r="D1379" s="346" t="inlineStr">
        <is>
          <t>1969</t>
        </is>
      </c>
      <c r="E1379" s="336" t="inlineStr">
        <is>
          <t>Junction</t>
        </is>
      </c>
      <c r="F1379" s="347" t="inlineStr">
        <is>
          <t>1006</t>
        </is>
      </c>
    </row>
    <row r="1380">
      <c r="D1380" s="346" t="inlineStr">
        <is>
          <t>1976</t>
        </is>
      </c>
      <c r="E1380" s="336" t="inlineStr">
        <is>
          <t>Kisumu</t>
        </is>
      </c>
      <c r="F1380" s="347" t="inlineStr">
        <is>
          <t>1006</t>
        </is>
      </c>
    </row>
    <row r="1381">
      <c r="D1381" s="346" t="inlineStr">
        <is>
          <t>1962</t>
        </is>
      </c>
      <c r="E1381" s="336" t="inlineStr">
        <is>
          <t>Mama Ngina</t>
        </is>
      </c>
      <c r="F1381" s="347" t="inlineStr">
        <is>
          <t>1006</t>
        </is>
      </c>
    </row>
    <row r="1382">
      <c r="D1382" s="346" t="inlineStr">
        <is>
          <t>1965</t>
        </is>
      </c>
      <c r="E1382" s="336" t="inlineStr">
        <is>
          <t>Mamlaka</t>
        </is>
      </c>
      <c r="F1382" s="347" t="inlineStr">
        <is>
          <t>1006</t>
        </is>
      </c>
    </row>
    <row r="1383">
      <c r="D1383" s="346" t="inlineStr">
        <is>
          <t>1970</t>
        </is>
      </c>
      <c r="E1383" s="336" t="inlineStr">
        <is>
          <t>Meru</t>
        </is>
      </c>
      <c r="F1383" s="347" t="inlineStr">
        <is>
          <t>1006</t>
        </is>
      </c>
    </row>
    <row r="1384">
      <c r="D1384" s="346" t="inlineStr">
        <is>
          <t>1333</t>
        </is>
      </c>
      <c r="E1384" s="336" t="inlineStr">
        <is>
          <t>Moi Avenue Mombasa</t>
        </is>
      </c>
      <c r="F1384" s="347" t="inlineStr">
        <is>
          <t>1006</t>
        </is>
      </c>
    </row>
    <row r="1385">
      <c r="D1385" s="346" t="inlineStr">
        <is>
          <t>1971</t>
        </is>
      </c>
      <c r="E1385" s="336" t="inlineStr">
        <is>
          <t>Nakuru</t>
        </is>
      </c>
      <c r="F1385" s="347" t="inlineStr">
        <is>
          <t>1006</t>
        </is>
      </c>
    </row>
    <row r="1386">
      <c r="D1386" s="346" t="inlineStr">
        <is>
          <t>1967</t>
        </is>
      </c>
      <c r="E1386" s="336" t="inlineStr">
        <is>
          <t>Park Side</t>
        </is>
      </c>
      <c r="F1386" s="347" t="inlineStr">
        <is>
          <t>1006</t>
        </is>
      </c>
    </row>
    <row r="1387">
      <c r="D1387" s="346" t="inlineStr">
        <is>
          <t>1977</t>
        </is>
      </c>
      <c r="E1387" s="336" t="inlineStr">
        <is>
          <t>Thika</t>
        </is>
      </c>
      <c r="F1387" s="347" t="inlineStr">
        <is>
          <t>1006</t>
        </is>
      </c>
    </row>
    <row r="1388">
      <c r="D1388" s="346" t="inlineStr">
        <is>
          <t>1960</t>
        </is>
      </c>
      <c r="E1388" s="336" t="inlineStr">
        <is>
          <t>Upper Hill</t>
        </is>
      </c>
      <c r="F1388" s="347" t="inlineStr">
        <is>
          <t>1006</t>
        </is>
      </c>
    </row>
    <row r="1389">
      <c r="D1389" s="346" t="inlineStr">
        <is>
          <t>1332</t>
        </is>
      </c>
      <c r="E1389" s="336" t="inlineStr">
        <is>
          <t>Village Market</t>
        </is>
      </c>
      <c r="F1389" s="347" t="inlineStr">
        <is>
          <t>1006</t>
        </is>
      </c>
    </row>
    <row r="1390">
      <c r="D1390" s="346" t="inlineStr">
        <is>
          <t>1961</t>
        </is>
      </c>
      <c r="E1390" s="336" t="inlineStr">
        <is>
          <t>Wabera Street</t>
        </is>
      </c>
      <c r="F1390" s="347" t="inlineStr">
        <is>
          <t>1006</t>
        </is>
      </c>
    </row>
    <row r="1391">
      <c r="D1391" s="346" t="inlineStr">
        <is>
          <t>1963</t>
        </is>
      </c>
      <c r="E1391" s="336" t="inlineStr">
        <is>
          <t>Westlands Branch</t>
        </is>
      </c>
      <c r="F1391" s="347" t="inlineStr">
        <is>
          <t>1006</t>
        </is>
      </c>
    </row>
    <row r="1392">
      <c r="D1392" s="337" t="inlineStr">
        <is>
          <t>1334</t>
        </is>
      </c>
      <c r="E1392" s="335" t="inlineStr">
        <is>
          <t>Mombasa</t>
        </is>
      </c>
      <c r="F1392" s="345" t="inlineStr">
        <is>
          <t>1007</t>
        </is>
      </c>
    </row>
    <row r="1393">
      <c r="D1393" s="337" t="inlineStr">
        <is>
          <t>1335</t>
        </is>
      </c>
      <c r="E1393" s="335" t="inlineStr">
        <is>
          <t>Malindi</t>
        </is>
      </c>
      <c r="F1393" s="345" t="inlineStr">
        <is>
          <t>1007</t>
        </is>
      </c>
    </row>
    <row r="1394">
      <c r="D1394" s="337" t="inlineStr">
        <is>
          <t>1336</t>
        </is>
      </c>
      <c r="E1394" s="335" t="inlineStr">
        <is>
          <t>Kimathi Street</t>
        </is>
      </c>
      <c r="F1394" s="345" t="inlineStr">
        <is>
          <t>1007</t>
        </is>
      </c>
    </row>
    <row r="1395">
      <c r="D1395" s="337" t="inlineStr">
        <is>
          <t>1337</t>
        </is>
      </c>
      <c r="E1395" s="335" t="inlineStr">
        <is>
          <t>Kenyatta Avenue</t>
        </is>
      </c>
      <c r="F1395" s="345" t="inlineStr">
        <is>
          <t>1007</t>
        </is>
      </c>
    </row>
    <row r="1396">
      <c r="D1396" s="337" t="inlineStr">
        <is>
          <t>1338</t>
        </is>
      </c>
      <c r="E1396" s="335" t="inlineStr">
        <is>
          <t>Kisumu</t>
        </is>
      </c>
      <c r="F1396" s="345" t="inlineStr">
        <is>
          <t>1007</t>
        </is>
      </c>
    </row>
    <row r="1397">
      <c r="D1397" s="346" t="inlineStr">
        <is>
          <t>1343</t>
        </is>
      </c>
      <c r="E1397" s="336" t="inlineStr">
        <is>
          <t>Eldoret</t>
        </is>
      </c>
      <c r="F1397" s="347" t="inlineStr">
        <is>
          <t>1008</t>
        </is>
      </c>
    </row>
    <row r="1398">
      <c r="D1398" s="346" t="inlineStr">
        <is>
          <t>2497</t>
        </is>
      </c>
      <c r="E1398" s="336" t="inlineStr">
        <is>
          <t>Head Office</t>
        </is>
      </c>
      <c r="F1398" s="347" t="inlineStr">
        <is>
          <t>1008</t>
        </is>
      </c>
    </row>
    <row r="1399">
      <c r="D1399" s="346" t="inlineStr">
        <is>
          <t>1339</t>
        </is>
      </c>
      <c r="E1399" s="336" t="inlineStr">
        <is>
          <t>Head Office</t>
        </is>
      </c>
      <c r="F1399" s="347" t="inlineStr">
        <is>
          <t>1008</t>
        </is>
      </c>
    </row>
    <row r="1400">
      <c r="D1400" s="346" t="inlineStr">
        <is>
          <t>1342</t>
        </is>
      </c>
      <c r="E1400" s="336" t="inlineStr">
        <is>
          <t>Kisumu</t>
        </is>
      </c>
      <c r="F1400" s="347" t="inlineStr">
        <is>
          <t>1008</t>
        </is>
      </c>
    </row>
    <row r="1401">
      <c r="D1401" s="346" t="inlineStr">
        <is>
          <t>1341</t>
        </is>
      </c>
      <c r="E1401" s="336" t="inlineStr">
        <is>
          <t>Mombasa</t>
        </is>
      </c>
      <c r="F1401" s="347" t="inlineStr">
        <is>
          <t>1008</t>
        </is>
      </c>
    </row>
    <row r="1402">
      <c r="D1402" s="337" t="inlineStr">
        <is>
          <t>1346</t>
        </is>
      </c>
      <c r="E1402" s="335" t="inlineStr">
        <is>
          <t>Biashara</t>
        </is>
      </c>
      <c r="F1402" s="345" t="inlineStr">
        <is>
          <t>1009</t>
        </is>
      </c>
    </row>
    <row r="1403">
      <c r="D1403" s="337" t="inlineStr">
        <is>
          <t>1348</t>
        </is>
      </c>
      <c r="E1403" s="335" t="inlineStr">
        <is>
          <t>Capital Centre</t>
        </is>
      </c>
      <c r="F1403" s="345" t="inlineStr">
        <is>
          <t>1009</t>
        </is>
      </c>
    </row>
    <row r="1404">
      <c r="D1404" s="337" t="inlineStr">
        <is>
          <t>2348</t>
        </is>
      </c>
      <c r="E1404" s="335" t="inlineStr">
        <is>
          <t>Card Centre</t>
        </is>
      </c>
      <c r="F1404" s="345" t="inlineStr">
        <is>
          <t>1009</t>
        </is>
      </c>
    </row>
    <row r="1405">
      <c r="D1405" s="337" t="inlineStr">
        <is>
          <t>2352</t>
        </is>
      </c>
      <c r="E1405" s="335" t="inlineStr">
        <is>
          <t>Eldoret</t>
        </is>
      </c>
      <c r="F1405" s="345" t="inlineStr">
        <is>
          <t>1009</t>
        </is>
      </c>
    </row>
    <row r="1406">
      <c r="D1406" s="337" t="inlineStr">
        <is>
          <t>1344</t>
        </is>
      </c>
      <c r="E1406" s="335" t="inlineStr">
        <is>
          <t>H/o Riverside</t>
        </is>
      </c>
      <c r="F1406" s="345" t="inlineStr">
        <is>
          <t>1009</t>
        </is>
      </c>
    </row>
    <row r="1407">
      <c r="D1407" s="337" t="inlineStr">
        <is>
          <t>2349</t>
        </is>
      </c>
      <c r="E1407" s="335" t="inlineStr">
        <is>
          <t>Hurlingham</t>
        </is>
      </c>
      <c r="F1407" s="345" t="inlineStr">
        <is>
          <t>1009</t>
        </is>
      </c>
    </row>
    <row r="1408">
      <c r="D1408" s="337" t="inlineStr">
        <is>
          <t>2344</t>
        </is>
      </c>
      <c r="E1408" s="335" t="inlineStr">
        <is>
          <t>Industrial Area</t>
        </is>
      </c>
      <c r="F1408" s="345" t="inlineStr">
        <is>
          <t>1009</t>
        </is>
      </c>
    </row>
    <row r="1409">
      <c r="D1409" s="337" t="inlineStr">
        <is>
          <t>2351</t>
        </is>
      </c>
      <c r="E1409" s="335" t="inlineStr">
        <is>
          <t>Kamukunji</t>
        </is>
      </c>
      <c r="F1409" s="345" t="inlineStr">
        <is>
          <t>1009</t>
        </is>
      </c>
    </row>
    <row r="1410">
      <c r="D1410" s="337" t="inlineStr">
        <is>
          <t>2353</t>
        </is>
      </c>
      <c r="E1410" s="335" t="inlineStr">
        <is>
          <t>Karen</t>
        </is>
      </c>
      <c r="F1410" s="345" t="inlineStr">
        <is>
          <t>1009</t>
        </is>
      </c>
    </row>
    <row r="1411">
      <c r="D1411" s="337" t="inlineStr">
        <is>
          <t>1345</t>
        </is>
      </c>
      <c r="E1411" s="335" t="inlineStr">
        <is>
          <t>Kenindia</t>
        </is>
      </c>
      <c r="F1411" s="345" t="inlineStr">
        <is>
          <t>1009</t>
        </is>
      </c>
    </row>
    <row r="1412">
      <c r="D1412" s="337" t="inlineStr">
        <is>
          <t>2345</t>
        </is>
      </c>
      <c r="E1412" s="335" t="inlineStr">
        <is>
          <t>Kisumu</t>
        </is>
      </c>
      <c r="F1412" s="345" t="inlineStr">
        <is>
          <t>1009</t>
        </is>
      </c>
    </row>
    <row r="1413">
      <c r="D1413" s="337" t="inlineStr">
        <is>
          <t>2343</t>
        </is>
      </c>
      <c r="E1413" s="335" t="inlineStr">
        <is>
          <t>Mombasa</t>
        </is>
      </c>
      <c r="F1413" s="345" t="inlineStr">
        <is>
          <t>1009</t>
        </is>
      </c>
    </row>
    <row r="1414">
      <c r="D1414" s="337" t="inlineStr">
        <is>
          <t>2354</t>
        </is>
      </c>
      <c r="E1414" s="335" t="inlineStr">
        <is>
          <t>Nakuru</t>
        </is>
      </c>
      <c r="F1414" s="345" t="inlineStr">
        <is>
          <t>1009</t>
        </is>
      </c>
    </row>
    <row r="1415">
      <c r="D1415" s="337" t="inlineStr">
        <is>
          <t>2350</t>
        </is>
      </c>
      <c r="E1415" s="335" t="inlineStr">
        <is>
          <t>Nyali</t>
        </is>
      </c>
      <c r="F1415" s="345" t="inlineStr">
        <is>
          <t>1009</t>
        </is>
      </c>
    </row>
    <row r="1416">
      <c r="D1416" s="337" t="inlineStr">
        <is>
          <t>2346</t>
        </is>
      </c>
      <c r="E1416" s="335" t="inlineStr">
        <is>
          <t>Parklands</t>
        </is>
      </c>
      <c r="F1416" s="345" t="inlineStr">
        <is>
          <t>1009</t>
        </is>
      </c>
    </row>
    <row r="1417">
      <c r="D1417" s="337" t="inlineStr">
        <is>
          <t>2347</t>
        </is>
      </c>
      <c r="E1417" s="335" t="inlineStr">
        <is>
          <t>Riverside Drive</t>
        </is>
      </c>
      <c r="F1417" s="345" t="inlineStr">
        <is>
          <t>1009</t>
        </is>
      </c>
    </row>
    <row r="1418">
      <c r="D1418" s="337" t="inlineStr">
        <is>
          <t>1347</t>
        </is>
      </c>
      <c r="E1418" s="335" t="inlineStr">
        <is>
          <t>Westlands</t>
        </is>
      </c>
      <c r="F1418" s="345" t="inlineStr">
        <is>
          <t>1009</t>
        </is>
      </c>
    </row>
    <row r="1419">
      <c r="D1419" s="346" t="inlineStr">
        <is>
          <t>1413</t>
        </is>
      </c>
      <c r="E1419" s="336" t="inlineStr">
        <is>
          <t>Aga Khan Walk</t>
        </is>
      </c>
      <c r="F1419" s="347" t="inlineStr">
        <is>
          <t>1010</t>
        </is>
      </c>
    </row>
    <row r="1420">
      <c r="D1420" s="346" t="inlineStr">
        <is>
          <t>1381</t>
        </is>
      </c>
      <c r="E1420" s="336" t="inlineStr">
        <is>
          <t>Athi River</t>
        </is>
      </c>
      <c r="F1420" s="347" t="inlineStr">
        <is>
          <t>1010</t>
        </is>
      </c>
    </row>
    <row r="1421">
      <c r="D1421" s="346" t="inlineStr">
        <is>
          <t>2427</t>
        </is>
      </c>
      <c r="E1421" s="336" t="inlineStr">
        <is>
          <t>Bomet</t>
        </is>
      </c>
      <c r="F1421" s="347" t="inlineStr">
        <is>
          <t>1010</t>
        </is>
      </c>
    </row>
    <row r="1422">
      <c r="D1422" s="346" t="inlineStr">
        <is>
          <t>1373</t>
        </is>
      </c>
      <c r="E1422" s="336" t="inlineStr">
        <is>
          <t>Bungoma</t>
        </is>
      </c>
      <c r="F1422" s="347" t="inlineStr">
        <is>
          <t>1010</t>
        </is>
      </c>
    </row>
    <row r="1423">
      <c r="D1423" s="346" t="inlineStr">
        <is>
          <t>2391</t>
        </is>
      </c>
      <c r="E1423" s="336" t="inlineStr">
        <is>
          <t>Buru Buru</t>
        </is>
      </c>
      <c r="F1423" s="347" t="inlineStr">
        <is>
          <t>1010</t>
        </is>
      </c>
    </row>
    <row r="1424">
      <c r="D1424" s="346" t="inlineStr">
        <is>
          <t>2405</t>
        </is>
      </c>
      <c r="E1424" s="336" t="inlineStr">
        <is>
          <t>Busia</t>
        </is>
      </c>
      <c r="F1424" s="347" t="inlineStr">
        <is>
          <t>1010</t>
        </is>
      </c>
    </row>
    <row r="1425">
      <c r="D1425" s="346" t="inlineStr">
        <is>
          <t>1392</t>
        </is>
      </c>
      <c r="E1425" s="336" t="inlineStr">
        <is>
          <t>Canon House</t>
        </is>
      </c>
      <c r="F1425" s="347" t="inlineStr">
        <is>
          <t>1010</t>
        </is>
      </c>
    </row>
    <row r="1426">
      <c r="D1426" s="346" t="inlineStr">
        <is>
          <t>1443</t>
        </is>
      </c>
      <c r="E1426" s="336" t="inlineStr">
        <is>
          <t>CHANGAMWE</t>
        </is>
      </c>
      <c r="F1426" s="347" t="inlineStr">
        <is>
          <t>1010</t>
        </is>
      </c>
    </row>
    <row r="1427">
      <c r="D1427" s="346" t="inlineStr">
        <is>
          <t>1366</t>
        </is>
      </c>
      <c r="E1427" s="336" t="inlineStr">
        <is>
          <t>Chuka</t>
        </is>
      </c>
      <c r="F1427" s="347" t="inlineStr">
        <is>
          <t>1010</t>
        </is>
      </c>
    </row>
    <row r="1428">
      <c r="D1428" s="346" t="inlineStr">
        <is>
          <t>2498</t>
        </is>
      </c>
      <c r="E1428" s="336" t="inlineStr">
        <is>
          <t>City Hall</t>
        </is>
      </c>
      <c r="F1428" s="347" t="inlineStr">
        <is>
          <t>1010</t>
        </is>
      </c>
    </row>
    <row r="1429">
      <c r="D1429" s="346" t="inlineStr">
        <is>
          <t>1978</t>
        </is>
      </c>
      <c r="E1429" s="336" t="inlineStr">
        <is>
          <t>clearing Centre</t>
        </is>
      </c>
      <c r="F1429" s="347" t="inlineStr">
        <is>
          <t>1010</t>
        </is>
      </c>
    </row>
    <row r="1430">
      <c r="D1430" s="346" t="inlineStr">
        <is>
          <t>1350</t>
        </is>
      </c>
      <c r="E1430" s="336" t="inlineStr">
        <is>
          <t>Co-op House</t>
        </is>
      </c>
      <c r="F1430" s="347" t="inlineStr">
        <is>
          <t>1010</t>
        </is>
      </c>
    </row>
    <row r="1431">
      <c r="D1431" s="346" t="inlineStr">
        <is>
          <t>2422</t>
        </is>
      </c>
      <c r="E1431" s="336" t="inlineStr">
        <is>
          <t>Dandora</t>
        </is>
      </c>
      <c r="F1431" s="347" t="inlineStr">
        <is>
          <t>1010</t>
        </is>
      </c>
    </row>
    <row r="1432">
      <c r="D1432" s="346" t="inlineStr">
        <is>
          <t>1398</t>
        </is>
      </c>
      <c r="E1432" s="336" t="inlineStr">
        <is>
          <t>Digo Rd</t>
        </is>
      </c>
      <c r="F1432" s="347" t="inlineStr">
        <is>
          <t>1010</t>
        </is>
      </c>
    </row>
    <row r="1433">
      <c r="D1433" s="346" t="inlineStr">
        <is>
          <t>2431</t>
        </is>
      </c>
      <c r="E1433" s="336" t="inlineStr">
        <is>
          <t>Donholm</t>
        </is>
      </c>
      <c r="F1433" s="347" t="inlineStr">
        <is>
          <t>1010</t>
        </is>
      </c>
    </row>
    <row r="1434">
      <c r="D1434" s="346" t="inlineStr">
        <is>
          <t>2387</t>
        </is>
      </c>
      <c r="E1434" s="336" t="inlineStr">
        <is>
          <t>Eastleigh</t>
        </is>
      </c>
      <c r="F1434" s="347" t="inlineStr">
        <is>
          <t>1010</t>
        </is>
      </c>
    </row>
    <row r="1435">
      <c r="D1435" s="346" t="inlineStr">
        <is>
          <t>1361</t>
        </is>
      </c>
      <c r="E1435" s="336" t="inlineStr">
        <is>
          <t>Eldoret</t>
        </is>
      </c>
      <c r="F1435" s="347" t="inlineStr">
        <is>
          <t>1010</t>
        </is>
      </c>
    </row>
    <row r="1436">
      <c r="D1436" s="346" t="inlineStr">
        <is>
          <t>1442</t>
        </is>
      </c>
      <c r="E1436" s="336" t="inlineStr">
        <is>
          <t>ELDORET WEST</t>
        </is>
      </c>
      <c r="F1436" s="347" t="inlineStr">
        <is>
          <t>1010</t>
        </is>
      </c>
    </row>
    <row r="1437">
      <c r="D1437" s="346" t="inlineStr">
        <is>
          <t>2416</t>
        </is>
      </c>
      <c r="E1437" s="336" t="inlineStr">
        <is>
          <t>Embakasi</t>
        </is>
      </c>
      <c r="F1437" s="347" t="inlineStr">
        <is>
          <t>1010</t>
        </is>
      </c>
    </row>
    <row r="1438">
      <c r="D1438" s="346" t="inlineStr">
        <is>
          <t>1454</t>
        </is>
      </c>
      <c r="E1438" s="336" t="inlineStr">
        <is>
          <t>EMBAKASI JUNCTION</t>
        </is>
      </c>
      <c r="F1438" s="347" t="inlineStr">
        <is>
          <t>1010</t>
        </is>
      </c>
    </row>
    <row r="1439">
      <c r="D1439" s="346" t="inlineStr">
        <is>
          <t>1371</t>
        </is>
      </c>
      <c r="E1439" s="336" t="inlineStr">
        <is>
          <t>Embu</t>
        </is>
      </c>
      <c r="F1439" s="347" t="inlineStr">
        <is>
          <t>1010</t>
        </is>
      </c>
    </row>
    <row r="1440">
      <c r="D1440" s="346" t="inlineStr">
        <is>
          <t>2404</t>
        </is>
      </c>
      <c r="E1440" s="336" t="inlineStr">
        <is>
          <t>Enterprise Road</t>
        </is>
      </c>
      <c r="F1440" s="347" t="inlineStr">
        <is>
          <t>1010</t>
        </is>
      </c>
    </row>
    <row r="1441">
      <c r="D1441" s="346" t="inlineStr">
        <is>
          <t>1895</t>
        </is>
      </c>
      <c r="E1441" s="336" t="inlineStr">
        <is>
          <t>Finance And Accounts</t>
        </is>
      </c>
      <c r="F1441" s="347" t="inlineStr">
        <is>
          <t>1010</t>
        </is>
      </c>
    </row>
    <row r="1442">
      <c r="D1442" s="346" t="inlineStr">
        <is>
          <t>1429</t>
        </is>
      </c>
      <c r="E1442" s="336" t="inlineStr">
        <is>
          <t>Garisa</t>
        </is>
      </c>
      <c r="F1442" s="347" t="inlineStr">
        <is>
          <t>1010</t>
        </is>
      </c>
    </row>
    <row r="1443">
      <c r="D1443" s="346" t="inlineStr">
        <is>
          <t>1991</t>
        </is>
      </c>
      <c r="E1443" s="336" t="inlineStr">
        <is>
          <t>Gatundu</t>
        </is>
      </c>
      <c r="F1443" s="347" t="inlineStr">
        <is>
          <t>1010</t>
        </is>
      </c>
    </row>
    <row r="1444">
      <c r="D1444" s="346" t="inlineStr">
        <is>
          <t>2425</t>
        </is>
      </c>
      <c r="E1444" s="336" t="inlineStr">
        <is>
          <t>Gikomba</t>
        </is>
      </c>
      <c r="F1444" s="347" t="inlineStr">
        <is>
          <t>1010</t>
        </is>
      </c>
    </row>
    <row r="1445">
      <c r="D1445" s="346" t="inlineStr">
        <is>
          <t>2429</t>
        </is>
      </c>
      <c r="E1445" s="336" t="inlineStr">
        <is>
          <t>Gilgil</t>
        </is>
      </c>
      <c r="F1445" s="347" t="inlineStr">
        <is>
          <t>1010</t>
        </is>
      </c>
    </row>
    <row r="1446">
      <c r="D1446" s="346" t="inlineStr">
        <is>
          <t>1989</t>
        </is>
      </c>
      <c r="E1446" s="336" t="inlineStr">
        <is>
          <t>Githunguri</t>
        </is>
      </c>
      <c r="F1446" s="347" t="inlineStr">
        <is>
          <t>1010</t>
        </is>
      </c>
    </row>
    <row r="1447">
      <c r="D1447" s="346" t="inlineStr">
        <is>
          <t>2473</t>
        </is>
      </c>
      <c r="E1447" s="336" t="inlineStr">
        <is>
          <t>Githurai</t>
        </is>
      </c>
      <c r="F1447" s="347" t="inlineStr">
        <is>
          <t>1010</t>
        </is>
      </c>
    </row>
    <row r="1448">
      <c r="D1448" s="346" t="inlineStr">
        <is>
          <t>1445</t>
        </is>
      </c>
      <c r="E1448" s="336" t="inlineStr">
        <is>
          <t>GITHURAI KIMBO</t>
        </is>
      </c>
      <c r="F1448" s="347" t="inlineStr">
        <is>
          <t>1010</t>
        </is>
      </c>
    </row>
    <row r="1449">
      <c r="D1449" s="346" t="inlineStr">
        <is>
          <t>2383</t>
        </is>
      </c>
      <c r="E1449" s="336" t="inlineStr">
        <is>
          <t>Head Office</t>
        </is>
      </c>
      <c r="F1449" s="347" t="inlineStr">
        <is>
          <t>1010</t>
        </is>
      </c>
    </row>
    <row r="1450">
      <c r="D1450" s="346" t="inlineStr">
        <is>
          <t>1370</t>
        </is>
      </c>
      <c r="E1450" s="336" t="inlineStr">
        <is>
          <t>Homa Bay</t>
        </is>
      </c>
      <c r="F1450" s="347" t="inlineStr">
        <is>
          <t>1010</t>
        </is>
      </c>
    </row>
    <row r="1451">
      <c r="D1451" s="346" t="inlineStr">
        <is>
          <t>1355</t>
        </is>
      </c>
      <c r="E1451" s="336" t="inlineStr">
        <is>
          <t>Industrial Area</t>
        </is>
      </c>
      <c r="F1451" s="347" t="inlineStr">
        <is>
          <t>1010</t>
        </is>
      </c>
    </row>
    <row r="1452">
      <c r="D1452" s="346" t="inlineStr">
        <is>
          <t>1441</t>
        </is>
      </c>
      <c r="E1452" s="336" t="inlineStr">
        <is>
          <t>ISIOLO</t>
        </is>
      </c>
      <c r="F1452" s="347" t="inlineStr">
        <is>
          <t>1010</t>
        </is>
      </c>
    </row>
    <row r="1453">
      <c r="D1453" s="346" t="inlineStr">
        <is>
          <t>2423</t>
        </is>
      </c>
      <c r="E1453" s="336" t="inlineStr">
        <is>
          <t>Kajiado</t>
        </is>
      </c>
      <c r="F1453" s="347" t="inlineStr">
        <is>
          <t>1010</t>
        </is>
      </c>
    </row>
    <row r="1454">
      <c r="D1454" s="346" t="inlineStr">
        <is>
          <t>2401</t>
        </is>
      </c>
      <c r="E1454" s="336" t="inlineStr">
        <is>
          <t>Kakamega</t>
        </is>
      </c>
      <c r="F1454" s="347" t="inlineStr">
        <is>
          <t>1010</t>
        </is>
      </c>
    </row>
    <row r="1455">
      <c r="D1455" s="346" t="inlineStr">
        <is>
          <t>2421</t>
        </is>
      </c>
      <c r="E1455" s="336" t="inlineStr">
        <is>
          <t>Kangemi</t>
        </is>
      </c>
      <c r="F1455" s="347" t="inlineStr">
        <is>
          <t>1010</t>
        </is>
      </c>
    </row>
    <row r="1456">
      <c r="D1456" s="346" t="inlineStr">
        <is>
          <t>2419</t>
        </is>
      </c>
      <c r="E1456" s="336" t="inlineStr">
        <is>
          <t>Kapsabet</t>
        </is>
      </c>
      <c r="F1456" s="347" t="inlineStr">
        <is>
          <t>1010</t>
        </is>
      </c>
    </row>
    <row r="1457">
      <c r="D1457" s="346" t="inlineStr">
        <is>
          <t>1376</t>
        </is>
      </c>
      <c r="E1457" s="336" t="inlineStr">
        <is>
          <t>Karatina</t>
        </is>
      </c>
      <c r="F1457" s="347" t="inlineStr">
        <is>
          <t>1010</t>
        </is>
      </c>
    </row>
    <row r="1458">
      <c r="D1458" s="346" t="inlineStr">
        <is>
          <t>1458</t>
        </is>
      </c>
      <c r="E1458" s="336" t="inlineStr">
        <is>
          <t>KAREN</t>
        </is>
      </c>
      <c r="F1458" s="347" t="inlineStr">
        <is>
          <t>1010</t>
        </is>
      </c>
    </row>
    <row r="1459">
      <c r="D1459" s="346" t="inlineStr">
        <is>
          <t>2398</t>
        </is>
      </c>
      <c r="E1459" s="336" t="inlineStr">
        <is>
          <t>Kariobangi</t>
        </is>
      </c>
      <c r="F1459" s="347" t="inlineStr">
        <is>
          <t>1010</t>
        </is>
      </c>
    </row>
    <row r="1460">
      <c r="D1460" s="346" t="inlineStr">
        <is>
          <t>2399</t>
        </is>
      </c>
      <c r="E1460" s="336" t="inlineStr">
        <is>
          <t>Kawangware</t>
        </is>
      </c>
      <c r="F1460" s="347" t="inlineStr">
        <is>
          <t>1010</t>
        </is>
      </c>
    </row>
    <row r="1461">
      <c r="D1461" s="346" t="inlineStr">
        <is>
          <t>1986</t>
        </is>
      </c>
      <c r="E1461" s="336" t="inlineStr">
        <is>
          <t>Kawangware 46</t>
        </is>
      </c>
      <c r="F1461" s="347" t="inlineStr">
        <is>
          <t>1010</t>
        </is>
      </c>
    </row>
    <row r="1462">
      <c r="D1462" s="346" t="inlineStr">
        <is>
          <t>2388</t>
        </is>
      </c>
      <c r="E1462" s="336" t="inlineStr">
        <is>
          <t>Kayole</t>
        </is>
      </c>
      <c r="F1462" s="347" t="inlineStr">
        <is>
          <t>1010</t>
        </is>
      </c>
    </row>
    <row r="1463">
      <c r="D1463" s="346" t="inlineStr">
        <is>
          <t>1402</t>
        </is>
      </c>
      <c r="E1463" s="336" t="inlineStr">
        <is>
          <t>Kenyatta Avenue</t>
        </is>
      </c>
      <c r="F1463" s="347" t="inlineStr">
        <is>
          <t>1010</t>
        </is>
      </c>
    </row>
    <row r="1464">
      <c r="D1464" s="346" t="inlineStr">
        <is>
          <t>1372</t>
        </is>
      </c>
      <c r="E1464" s="336" t="inlineStr">
        <is>
          <t>Kericho</t>
        </is>
      </c>
      <c r="F1464" s="347" t="inlineStr">
        <is>
          <t>1010</t>
        </is>
      </c>
    </row>
    <row r="1465">
      <c r="D1465" s="346" t="inlineStr">
        <is>
          <t>2428</t>
        </is>
      </c>
      <c r="E1465" s="336" t="inlineStr">
        <is>
          <t>Keroka</t>
        </is>
      </c>
      <c r="F1465" s="347" t="inlineStr">
        <is>
          <t>1010</t>
        </is>
      </c>
    </row>
    <row r="1466">
      <c r="D1466" s="346" t="inlineStr">
        <is>
          <t>1360</t>
        </is>
      </c>
      <c r="E1466" s="336" t="inlineStr">
        <is>
          <t>Kerugoya</t>
        </is>
      </c>
      <c r="F1466" s="347" t="inlineStr">
        <is>
          <t>1010</t>
        </is>
      </c>
    </row>
    <row r="1467">
      <c r="D1467" s="346" t="inlineStr">
        <is>
          <t>1369</t>
        </is>
      </c>
      <c r="E1467" s="336" t="inlineStr">
        <is>
          <t>Kiambu</t>
        </is>
      </c>
      <c r="F1467" s="347" t="inlineStr">
        <is>
          <t>1010</t>
        </is>
      </c>
    </row>
    <row r="1468">
      <c r="D1468" s="346" t="inlineStr">
        <is>
          <t>2417</t>
        </is>
      </c>
      <c r="E1468" s="336" t="inlineStr">
        <is>
          <t>Kibera</t>
        </is>
      </c>
      <c r="F1468" s="347" t="inlineStr">
        <is>
          <t>1010</t>
        </is>
      </c>
    </row>
    <row r="1469">
      <c r="D1469" s="346" t="inlineStr">
        <is>
          <t>1988</t>
        </is>
      </c>
      <c r="E1469" s="336" t="inlineStr">
        <is>
          <t>Kikuyu</t>
        </is>
      </c>
      <c r="F1469" s="347" t="inlineStr">
        <is>
          <t>1010</t>
        </is>
      </c>
    </row>
    <row r="1470">
      <c r="D1470" s="346" t="inlineStr">
        <is>
          <t>1979</t>
        </is>
      </c>
      <c r="E1470" s="336" t="inlineStr">
        <is>
          <t>Kilgoris</t>
        </is>
      </c>
      <c r="F1470" s="347" t="inlineStr">
        <is>
          <t>1010</t>
        </is>
      </c>
    </row>
    <row r="1471">
      <c r="D1471" s="346" t="inlineStr">
        <is>
          <t>1447</t>
        </is>
      </c>
      <c r="E1471" s="336" t="inlineStr">
        <is>
          <t>KILIFI</t>
        </is>
      </c>
      <c r="F1471" s="347" t="inlineStr">
        <is>
          <t>1010</t>
        </is>
      </c>
    </row>
    <row r="1472">
      <c r="D1472" s="346" t="inlineStr">
        <is>
          <t>1995</t>
        </is>
      </c>
      <c r="E1472" s="336" t="inlineStr">
        <is>
          <t>Kilindini Port</t>
        </is>
      </c>
      <c r="F1472" s="347" t="inlineStr">
        <is>
          <t>1010</t>
        </is>
      </c>
    </row>
    <row r="1473">
      <c r="D1473" s="346" t="inlineStr">
        <is>
          <t>1393</t>
        </is>
      </c>
      <c r="E1473" s="336" t="inlineStr">
        <is>
          <t>Kimathi Street</t>
        </is>
      </c>
      <c r="F1473" s="347" t="inlineStr">
        <is>
          <t>1010</t>
        </is>
      </c>
    </row>
    <row r="1474">
      <c r="D1474" s="346" t="inlineStr">
        <is>
          <t>1450</t>
        </is>
      </c>
      <c r="E1474" s="336" t="inlineStr">
        <is>
          <t>KIMILILI</t>
        </is>
      </c>
      <c r="F1474" s="347" t="inlineStr">
        <is>
          <t>1010</t>
        </is>
      </c>
    </row>
    <row r="1475">
      <c r="D1475" s="346" t="inlineStr">
        <is>
          <t>1356</t>
        </is>
      </c>
      <c r="E1475" s="336" t="inlineStr">
        <is>
          <t>Kisii</t>
        </is>
      </c>
      <c r="F1475" s="347" t="inlineStr">
        <is>
          <t>1010</t>
        </is>
      </c>
    </row>
    <row r="1476">
      <c r="D1476" s="346" t="inlineStr">
        <is>
          <t>1451</t>
        </is>
      </c>
      <c r="E1476" s="336" t="inlineStr">
        <is>
          <t>Kisii East</t>
        </is>
      </c>
      <c r="F1476" s="347" t="inlineStr">
        <is>
          <t>1010</t>
        </is>
      </c>
    </row>
    <row r="1477">
      <c r="D1477" s="346" t="inlineStr">
        <is>
          <t>1351</t>
        </is>
      </c>
      <c r="E1477" s="336" t="inlineStr">
        <is>
          <t>Kisumu</t>
        </is>
      </c>
      <c r="F1477" s="347" t="inlineStr">
        <is>
          <t>1010</t>
        </is>
      </c>
    </row>
    <row r="1478">
      <c r="D1478" s="346" t="inlineStr">
        <is>
          <t>1444</t>
        </is>
      </c>
      <c r="E1478" s="336" t="inlineStr">
        <is>
          <t>KISUMU EAST</t>
        </is>
      </c>
      <c r="F1478" s="347" t="inlineStr">
        <is>
          <t>1010</t>
        </is>
      </c>
    </row>
    <row r="1479">
      <c r="D1479" s="346" t="inlineStr">
        <is>
          <t>2472</t>
        </is>
      </c>
      <c r="E1479" s="336" t="inlineStr">
        <is>
          <t>Kitale</t>
        </is>
      </c>
      <c r="F1479" s="347" t="inlineStr">
        <is>
          <t>1010</t>
        </is>
      </c>
    </row>
    <row r="1480">
      <c r="D1480" s="346" t="inlineStr">
        <is>
          <t>2412</t>
        </is>
      </c>
      <c r="E1480" s="336" t="inlineStr">
        <is>
          <t>Kitengela</t>
        </is>
      </c>
      <c r="F1480" s="347" t="inlineStr">
        <is>
          <t>1010</t>
        </is>
      </c>
    </row>
    <row r="1481">
      <c r="D1481" s="346" t="inlineStr">
        <is>
          <t>2414</t>
        </is>
      </c>
      <c r="E1481" s="336" t="inlineStr">
        <is>
          <t>Kitui</t>
        </is>
      </c>
      <c r="F1481" s="347" t="inlineStr">
        <is>
          <t>1010</t>
        </is>
      </c>
    </row>
    <row r="1482">
      <c r="D1482" s="346" t="inlineStr">
        <is>
          <t>1984</t>
        </is>
      </c>
      <c r="E1482" s="336" t="inlineStr">
        <is>
          <t>Kongowea</t>
        </is>
      </c>
      <c r="F1482" s="347" t="inlineStr">
        <is>
          <t>1010</t>
        </is>
      </c>
    </row>
    <row r="1483">
      <c r="D1483" s="346" t="inlineStr">
        <is>
          <t>1453</t>
        </is>
      </c>
      <c r="E1483" s="336" t="inlineStr">
        <is>
          <t>KUTUS</t>
        </is>
      </c>
      <c r="F1483" s="347" t="inlineStr">
        <is>
          <t>1010</t>
        </is>
      </c>
    </row>
    <row r="1484">
      <c r="D1484" s="346" t="inlineStr">
        <is>
          <t>1455</t>
        </is>
      </c>
      <c r="E1484" s="336" t="inlineStr">
        <is>
          <t>Langata Road</t>
        </is>
      </c>
      <c r="F1484" s="347" t="inlineStr">
        <is>
          <t>1010</t>
        </is>
      </c>
    </row>
    <row r="1485">
      <c r="D1485" s="346" t="inlineStr">
        <is>
          <t>2430</t>
        </is>
      </c>
      <c r="E1485" s="336" t="inlineStr">
        <is>
          <t>Likoni</t>
        </is>
      </c>
      <c r="F1485" s="347" t="inlineStr">
        <is>
          <t>1010</t>
        </is>
      </c>
    </row>
    <row r="1486">
      <c r="D1486" s="346" t="inlineStr">
        <is>
          <t>1987</t>
        </is>
      </c>
      <c r="E1486" s="336" t="inlineStr">
        <is>
          <t>Limuru</t>
        </is>
      </c>
      <c r="F1486" s="347" t="inlineStr">
        <is>
          <t>1010</t>
        </is>
      </c>
    </row>
    <row r="1487">
      <c r="D1487" s="346" t="inlineStr">
        <is>
          <t>1357</t>
        </is>
      </c>
      <c r="E1487" s="336" t="inlineStr">
        <is>
          <t>Machakos</t>
        </is>
      </c>
      <c r="F1487" s="347" t="inlineStr">
        <is>
          <t>1010</t>
        </is>
      </c>
    </row>
    <row r="1488">
      <c r="D1488" s="346" t="inlineStr">
        <is>
          <t>2400</t>
        </is>
      </c>
      <c r="E1488" s="336" t="inlineStr">
        <is>
          <t>Makutano</t>
        </is>
      </c>
      <c r="F1488" s="347" t="inlineStr">
        <is>
          <t>1010</t>
        </is>
      </c>
    </row>
    <row r="1489">
      <c r="D1489" s="346" t="inlineStr">
        <is>
          <t>1981</t>
        </is>
      </c>
      <c r="E1489" s="336" t="inlineStr">
        <is>
          <t>Malaba</t>
        </is>
      </c>
      <c r="F1489" s="347" t="inlineStr">
        <is>
          <t>1010</t>
        </is>
      </c>
    </row>
    <row r="1490">
      <c r="D1490" s="346" t="inlineStr">
        <is>
          <t>2409</t>
        </is>
      </c>
      <c r="E1490" s="336" t="inlineStr">
        <is>
          <t>Malindi</t>
        </is>
      </c>
      <c r="F1490" s="347" t="inlineStr">
        <is>
          <t>1010</t>
        </is>
      </c>
    </row>
    <row r="1491">
      <c r="D1491" s="346" t="inlineStr">
        <is>
          <t>2408</t>
        </is>
      </c>
      <c r="E1491" s="336" t="inlineStr">
        <is>
          <t>Mariakani</t>
        </is>
      </c>
      <c r="F1491" s="347" t="inlineStr">
        <is>
          <t>1010</t>
        </is>
      </c>
    </row>
    <row r="1492">
      <c r="D1492" s="346" t="inlineStr">
        <is>
          <t>2474</t>
        </is>
      </c>
      <c r="E1492" s="336" t="inlineStr">
        <is>
          <t>Maua</t>
        </is>
      </c>
      <c r="F1492" s="347" t="inlineStr">
        <is>
          <t>1010</t>
        </is>
      </c>
    </row>
    <row r="1493">
      <c r="D1493" s="346" t="inlineStr">
        <is>
          <t>1449</t>
        </is>
      </c>
      <c r="E1493" s="336" t="inlineStr">
        <is>
          <t>MBALE</t>
        </is>
      </c>
      <c r="F1493" s="347" t="inlineStr">
        <is>
          <t>1010</t>
        </is>
      </c>
    </row>
    <row r="1494">
      <c r="D1494" s="346" t="inlineStr">
        <is>
          <t>2420</t>
        </is>
      </c>
      <c r="E1494" s="336" t="inlineStr">
        <is>
          <t>Mbita</t>
        </is>
      </c>
      <c r="F1494" s="347" t="inlineStr">
        <is>
          <t>1010</t>
        </is>
      </c>
    </row>
    <row r="1495">
      <c r="D1495" s="346" t="inlineStr">
        <is>
          <t>1353</t>
        </is>
      </c>
      <c r="E1495" s="336" t="inlineStr">
        <is>
          <t>Meru</t>
        </is>
      </c>
      <c r="F1495" s="347" t="inlineStr">
        <is>
          <t>1010</t>
        </is>
      </c>
    </row>
    <row r="1496">
      <c r="D1496" s="346" t="inlineStr">
        <is>
          <t>2402</t>
        </is>
      </c>
      <c r="E1496" s="336" t="inlineStr">
        <is>
          <t>Migori</t>
        </is>
      </c>
      <c r="F1496" s="347" t="inlineStr">
        <is>
          <t>1010</t>
        </is>
      </c>
    </row>
    <row r="1497">
      <c r="D1497" s="346" t="inlineStr">
        <is>
          <t>1446</t>
        </is>
      </c>
      <c r="E1497" s="336" t="inlineStr">
        <is>
          <t>MLOLONGO</t>
        </is>
      </c>
      <c r="F1497" s="347" t="inlineStr">
        <is>
          <t>1010</t>
        </is>
      </c>
    </row>
    <row r="1498">
      <c r="D1498" s="346" t="inlineStr">
        <is>
          <t>2384</t>
        </is>
      </c>
      <c r="E1498" s="336" t="inlineStr">
        <is>
          <t>Moi Avenue</t>
        </is>
      </c>
      <c r="F1498" s="347" t="inlineStr">
        <is>
          <t>1010</t>
        </is>
      </c>
    </row>
    <row r="1499">
      <c r="D1499" s="346" t="inlineStr">
        <is>
          <t>1982</t>
        </is>
      </c>
      <c r="E1499" s="336" t="inlineStr">
        <is>
          <t>Molo</t>
        </is>
      </c>
      <c r="F1499" s="347" t="inlineStr">
        <is>
          <t>1010</t>
        </is>
      </c>
    </row>
    <row r="1500">
      <c r="D1500" s="346" t="inlineStr">
        <is>
          <t>1456</t>
        </is>
      </c>
      <c r="E1500" s="336" t="inlineStr">
        <is>
          <t>MOMBASA ROAD</t>
        </is>
      </c>
      <c r="F1500" s="347" t="inlineStr">
        <is>
          <t>1010</t>
        </is>
      </c>
    </row>
    <row r="1501">
      <c r="D1501" s="346" t="inlineStr">
        <is>
          <t>1996</t>
        </is>
      </c>
      <c r="E1501" s="336" t="inlineStr">
        <is>
          <t>Money Transfers Agency</t>
        </is>
      </c>
      <c r="F1501" s="347" t="inlineStr">
        <is>
          <t>1010</t>
        </is>
      </c>
    </row>
    <row r="1502">
      <c r="D1502" s="346" t="inlineStr">
        <is>
          <t>1990</t>
        </is>
      </c>
      <c r="E1502" s="336" t="inlineStr">
        <is>
          <t>Mpeketoni</t>
        </is>
      </c>
      <c r="F1502" s="347" t="inlineStr">
        <is>
          <t>1010</t>
        </is>
      </c>
    </row>
    <row r="1503">
      <c r="D1503" s="346" t="inlineStr">
        <is>
          <t>2390</t>
        </is>
      </c>
      <c r="E1503" s="336" t="inlineStr">
        <is>
          <t>Mtwapa</t>
        </is>
      </c>
      <c r="F1503" s="347" t="inlineStr">
        <is>
          <t>1010</t>
        </is>
      </c>
    </row>
    <row r="1504">
      <c r="D1504" s="346" t="inlineStr">
        <is>
          <t>2392</t>
        </is>
      </c>
      <c r="E1504" s="336" t="inlineStr">
        <is>
          <t>Mumias</t>
        </is>
      </c>
      <c r="F1504" s="347" t="inlineStr">
        <is>
          <t>1010</t>
        </is>
      </c>
    </row>
    <row r="1505">
      <c r="D1505" s="346" t="inlineStr">
        <is>
          <t>1374</t>
        </is>
      </c>
      <c r="E1505" s="336" t="inlineStr">
        <is>
          <t>Muranga</t>
        </is>
      </c>
      <c r="F1505" s="347" t="inlineStr">
        <is>
          <t>1010</t>
        </is>
      </c>
    </row>
    <row r="1506">
      <c r="D1506" s="346" t="inlineStr">
        <is>
          <t>1452</t>
        </is>
      </c>
      <c r="E1506" s="336" t="inlineStr">
        <is>
          <t>MWEA</t>
        </is>
      </c>
      <c r="F1506" s="347" t="inlineStr">
        <is>
          <t>1010</t>
        </is>
      </c>
    </row>
    <row r="1507">
      <c r="D1507" s="346" t="inlineStr">
        <is>
          <t>2432</t>
        </is>
      </c>
      <c r="E1507" s="336" t="inlineStr">
        <is>
          <t>Mwingi</t>
        </is>
      </c>
      <c r="F1507" s="347" t="inlineStr">
        <is>
          <t>1010</t>
        </is>
      </c>
    </row>
    <row r="1508">
      <c r="D1508" s="346" t="inlineStr">
        <is>
          <t>2397</t>
        </is>
      </c>
      <c r="E1508" s="336" t="inlineStr">
        <is>
          <t>Nacico</t>
        </is>
      </c>
      <c r="F1508" s="347" t="inlineStr">
        <is>
          <t>1010</t>
        </is>
      </c>
    </row>
    <row r="1509">
      <c r="D1509" s="346" t="inlineStr">
        <is>
          <t>2385</t>
        </is>
      </c>
      <c r="E1509" s="336" t="inlineStr">
        <is>
          <t>Naivasha</t>
        </is>
      </c>
      <c r="F1509" s="347" t="inlineStr">
        <is>
          <t>1010</t>
        </is>
      </c>
    </row>
    <row r="1510">
      <c r="D1510" s="346" t="inlineStr">
        <is>
          <t>1354</t>
        </is>
      </c>
      <c r="E1510" s="336" t="inlineStr">
        <is>
          <t>Nakuru</t>
        </is>
      </c>
      <c r="F1510" s="347" t="inlineStr">
        <is>
          <t>1010</t>
        </is>
      </c>
    </row>
    <row r="1511">
      <c r="D1511" s="346" t="inlineStr">
        <is>
          <t>2411</t>
        </is>
      </c>
      <c r="E1511" s="336" t="inlineStr">
        <is>
          <t>Nakuru East</t>
        </is>
      </c>
      <c r="F1511" s="347" t="inlineStr">
        <is>
          <t>1010</t>
        </is>
      </c>
    </row>
    <row r="1512">
      <c r="D1512" s="346" t="inlineStr">
        <is>
          <t>2415</t>
        </is>
      </c>
      <c r="E1512" s="336" t="inlineStr">
        <is>
          <t>Nanyuki</t>
        </is>
      </c>
      <c r="F1512" s="347" t="inlineStr">
        <is>
          <t>1010</t>
        </is>
      </c>
    </row>
    <row r="1513">
      <c r="D1513" s="346" t="inlineStr">
        <is>
          <t>2413</t>
        </is>
      </c>
      <c r="E1513" s="336" t="inlineStr">
        <is>
          <t>Narok</t>
        </is>
      </c>
      <c r="F1513" s="347" t="inlineStr">
        <is>
          <t>1010</t>
        </is>
      </c>
    </row>
    <row r="1514">
      <c r="D1514" s="346" t="inlineStr">
        <is>
          <t>1399</t>
        </is>
      </c>
      <c r="E1514" s="336" t="inlineStr">
        <is>
          <t>Nbc</t>
        </is>
      </c>
      <c r="F1514" s="347" t="inlineStr">
        <is>
          <t>1010</t>
        </is>
      </c>
    </row>
    <row r="1515">
      <c r="D1515" s="346" t="inlineStr">
        <is>
          <t>1439</t>
        </is>
      </c>
      <c r="E1515" s="336" t="inlineStr">
        <is>
          <t>NDHIWA</t>
        </is>
      </c>
      <c r="F1515" s="347" t="inlineStr">
        <is>
          <t>1010</t>
        </is>
      </c>
    </row>
    <row r="1516">
      <c r="D1516" s="346" t="inlineStr">
        <is>
          <t>1985</t>
        </is>
      </c>
      <c r="E1516" s="336" t="inlineStr">
        <is>
          <t>Ngong</t>
        </is>
      </c>
      <c r="F1516" s="347" t="inlineStr">
        <is>
          <t>1010</t>
        </is>
      </c>
    </row>
    <row r="1517">
      <c r="D1517" s="346" t="inlineStr">
        <is>
          <t>2403</t>
        </is>
      </c>
      <c r="E1517" s="336" t="inlineStr">
        <is>
          <t>Nkubu</t>
        </is>
      </c>
      <c r="F1517" s="347" t="inlineStr">
        <is>
          <t>1010</t>
        </is>
      </c>
    </row>
    <row r="1518">
      <c r="D1518" s="346" t="inlineStr">
        <is>
          <t>1352</t>
        </is>
      </c>
      <c r="E1518" s="336" t="inlineStr">
        <is>
          <t>Nkurumah Road</t>
        </is>
      </c>
      <c r="F1518" s="347" t="inlineStr">
        <is>
          <t>1010</t>
        </is>
      </c>
    </row>
    <row r="1519">
      <c r="D1519" s="346" t="inlineStr">
        <is>
          <t>1365</t>
        </is>
      </c>
      <c r="E1519" s="336" t="inlineStr">
        <is>
          <t>Nyahururu</t>
        </is>
      </c>
      <c r="F1519" s="347" t="inlineStr">
        <is>
          <t>1010</t>
        </is>
      </c>
    </row>
    <row r="1520">
      <c r="D1520" s="346" t="inlineStr">
        <is>
          <t>2426</t>
        </is>
      </c>
      <c r="E1520" s="336" t="inlineStr">
        <is>
          <t>Nyamira</t>
        </is>
      </c>
      <c r="F1520" s="347" t="inlineStr">
        <is>
          <t>1010</t>
        </is>
      </c>
    </row>
    <row r="1521">
      <c r="D1521" s="346" t="inlineStr">
        <is>
          <t>1358</t>
        </is>
      </c>
      <c r="E1521" s="336" t="inlineStr">
        <is>
          <t>Nyeri</t>
        </is>
      </c>
      <c r="F1521" s="347" t="inlineStr">
        <is>
          <t>1010</t>
        </is>
      </c>
    </row>
    <row r="1522">
      <c r="D1522" s="346" t="inlineStr">
        <is>
          <t>1448</t>
        </is>
      </c>
      <c r="E1522" s="336" t="inlineStr">
        <is>
          <t>OL KALAU</t>
        </is>
      </c>
      <c r="F1522" s="347" t="inlineStr">
        <is>
          <t>1010</t>
        </is>
      </c>
    </row>
    <row r="1523">
      <c r="D1523" s="346" t="inlineStr">
        <is>
          <t>1386</t>
        </is>
      </c>
      <c r="E1523" s="336" t="inlineStr">
        <is>
          <t>Ongata Rongai</t>
        </is>
      </c>
      <c r="F1523" s="347" t="inlineStr">
        <is>
          <t>1010</t>
        </is>
      </c>
    </row>
    <row r="1524">
      <c r="D1524" s="346" t="inlineStr">
        <is>
          <t>1457</t>
        </is>
      </c>
      <c r="E1524" s="336" t="inlineStr">
        <is>
          <t>OTHAYA</t>
        </is>
      </c>
      <c r="F1524" s="347" t="inlineStr">
        <is>
          <t>1010</t>
        </is>
      </c>
    </row>
    <row r="1525">
      <c r="D1525" s="346" t="inlineStr">
        <is>
          <t>1440</t>
        </is>
      </c>
      <c r="E1525" s="336" t="inlineStr">
        <is>
          <t>OYUGIS</t>
        </is>
      </c>
      <c r="F1525" s="347" t="inlineStr">
        <is>
          <t>1010</t>
        </is>
      </c>
    </row>
    <row r="1526">
      <c r="D1526" s="346" t="inlineStr">
        <is>
          <t>1427</t>
        </is>
      </c>
      <c r="E1526" s="336" t="inlineStr">
        <is>
          <t>River Road</t>
        </is>
      </c>
      <c r="F1526" s="347" t="inlineStr">
        <is>
          <t>1010</t>
        </is>
      </c>
    </row>
    <row r="1527">
      <c r="D1527" s="346" t="inlineStr">
        <is>
          <t>2433</t>
        </is>
      </c>
      <c r="E1527" s="336" t="inlineStr">
        <is>
          <t>Ruaka</t>
        </is>
      </c>
      <c r="F1527" s="347" t="inlineStr">
        <is>
          <t>1010</t>
        </is>
      </c>
    </row>
    <row r="1528">
      <c r="D1528" s="346" t="inlineStr">
        <is>
          <t>1992</t>
        </is>
      </c>
      <c r="E1528" s="336" t="inlineStr">
        <is>
          <t>Ruiru</t>
        </is>
      </c>
      <c r="F1528" s="347" t="inlineStr">
        <is>
          <t>1010</t>
        </is>
      </c>
    </row>
    <row r="1529">
      <c r="D1529" s="346" t="inlineStr">
        <is>
          <t>1994</t>
        </is>
      </c>
      <c r="E1529" s="336" t="inlineStr">
        <is>
          <t>Shares Operations</t>
        </is>
      </c>
      <c r="F1529" s="347" t="inlineStr">
        <is>
          <t>1010</t>
        </is>
      </c>
    </row>
    <row r="1530">
      <c r="D1530" s="346" t="inlineStr">
        <is>
          <t>2418</t>
        </is>
      </c>
      <c r="E1530" s="336" t="inlineStr">
        <is>
          <t>Siakago</t>
        </is>
      </c>
      <c r="F1530" s="347" t="inlineStr">
        <is>
          <t>1010</t>
        </is>
      </c>
    </row>
    <row r="1531">
      <c r="D1531" s="346" t="inlineStr">
        <is>
          <t>2406</t>
        </is>
      </c>
      <c r="E1531" s="336" t="inlineStr">
        <is>
          <t>Siaya</t>
        </is>
      </c>
      <c r="F1531" s="347" t="inlineStr">
        <is>
          <t>1010</t>
        </is>
      </c>
    </row>
    <row r="1532">
      <c r="D1532" s="346" t="inlineStr">
        <is>
          <t>2393</t>
        </is>
      </c>
      <c r="E1532" s="336" t="inlineStr">
        <is>
          <t>Stima Plaza</t>
        </is>
      </c>
      <c r="F1532" s="347" t="inlineStr">
        <is>
          <t>1010</t>
        </is>
      </c>
    </row>
    <row r="1533">
      <c r="D1533" s="346" t="inlineStr">
        <is>
          <t>2424</t>
        </is>
      </c>
      <c r="E1533" s="336" t="inlineStr">
        <is>
          <t>Tala</t>
        </is>
      </c>
      <c r="F1533" s="347" t="inlineStr">
        <is>
          <t>1010</t>
        </is>
      </c>
    </row>
    <row r="1534">
      <c r="D1534" s="346" t="inlineStr">
        <is>
          <t>2396</t>
        </is>
      </c>
      <c r="E1534" s="336" t="inlineStr">
        <is>
          <t>Thika</t>
        </is>
      </c>
      <c r="F1534" s="347" t="inlineStr">
        <is>
          <t>1010</t>
        </is>
      </c>
    </row>
    <row r="1535">
      <c r="D1535" s="346" t="inlineStr">
        <is>
          <t>2476</t>
        </is>
      </c>
      <c r="E1535" s="336" t="inlineStr">
        <is>
          <t>Tom Mboya</t>
        </is>
      </c>
      <c r="F1535" s="347" t="inlineStr">
        <is>
          <t>1010</t>
        </is>
      </c>
    </row>
    <row r="1536">
      <c r="D1536" s="346" t="inlineStr">
        <is>
          <t>1359</t>
        </is>
      </c>
      <c r="E1536" s="336" t="inlineStr">
        <is>
          <t>Ukulima</t>
        </is>
      </c>
      <c r="F1536" s="347" t="inlineStr">
        <is>
          <t>1010</t>
        </is>
      </c>
    </row>
    <row r="1537">
      <c r="D1537" s="346" t="inlineStr">
        <is>
          <t>2389</t>
        </is>
      </c>
      <c r="E1537" s="336" t="inlineStr">
        <is>
          <t>Ukunda</t>
        </is>
      </c>
      <c r="F1537" s="347" t="inlineStr">
        <is>
          <t>1010</t>
        </is>
      </c>
    </row>
    <row r="1538">
      <c r="D1538" s="346" t="inlineStr">
        <is>
          <t>1983</t>
        </is>
      </c>
      <c r="E1538" s="336" t="inlineStr">
        <is>
          <t>Umoja</t>
        </is>
      </c>
      <c r="F1538" s="347" t="inlineStr">
        <is>
          <t>1010</t>
        </is>
      </c>
    </row>
    <row r="1539">
      <c r="D1539" s="346" t="inlineStr">
        <is>
          <t>1379</t>
        </is>
      </c>
      <c r="E1539" s="336" t="inlineStr">
        <is>
          <t>University Way</t>
        </is>
      </c>
      <c r="F1539" s="347" t="inlineStr">
        <is>
          <t>1010</t>
        </is>
      </c>
    </row>
    <row r="1540">
      <c r="D1540" s="346" t="inlineStr">
        <is>
          <t>2395</t>
        </is>
      </c>
      <c r="E1540" s="336" t="inlineStr">
        <is>
          <t>Upper Hill</t>
        </is>
      </c>
      <c r="F1540" s="347" t="inlineStr">
        <is>
          <t>1010</t>
        </is>
      </c>
    </row>
    <row r="1541">
      <c r="D1541" s="346" t="inlineStr">
        <is>
          <t>2407</t>
        </is>
      </c>
      <c r="E1541" s="336" t="inlineStr">
        <is>
          <t>Voi</t>
        </is>
      </c>
      <c r="F1541" s="347" t="inlineStr">
        <is>
          <t>1010</t>
        </is>
      </c>
    </row>
    <row r="1542">
      <c r="D1542" s="346" t="inlineStr">
        <is>
          <t>2386</t>
        </is>
      </c>
      <c r="E1542" s="336" t="inlineStr">
        <is>
          <t>Wakulima Market</t>
        </is>
      </c>
      <c r="F1542" s="347" t="inlineStr">
        <is>
          <t>1010</t>
        </is>
      </c>
    </row>
    <row r="1543">
      <c r="D1543" s="346" t="inlineStr">
        <is>
          <t>2434</t>
        </is>
      </c>
      <c r="E1543" s="336" t="inlineStr">
        <is>
          <t>Webuye</t>
        </is>
      </c>
      <c r="F1543" s="347" t="inlineStr">
        <is>
          <t>1010</t>
        </is>
      </c>
    </row>
    <row r="1544">
      <c r="D1544" s="346" t="inlineStr">
        <is>
          <t>2394</t>
        </is>
      </c>
      <c r="E1544" s="336" t="inlineStr">
        <is>
          <t>Westlands</t>
        </is>
      </c>
      <c r="F1544" s="347" t="inlineStr">
        <is>
          <t>1010</t>
        </is>
      </c>
    </row>
    <row r="1545">
      <c r="D1545" s="346" t="inlineStr">
        <is>
          <t>1980</t>
        </is>
      </c>
      <c r="E1545" s="336" t="inlineStr">
        <is>
          <t>Wote</t>
        </is>
      </c>
      <c r="F1545" s="347" t="inlineStr">
        <is>
          <t>1010</t>
        </is>
      </c>
    </row>
    <row r="1546">
      <c r="D1546" s="346" t="inlineStr">
        <is>
          <t>1993</t>
        </is>
      </c>
      <c r="E1546" s="336" t="inlineStr">
        <is>
          <t>Yala</t>
        </is>
      </c>
      <c r="F1546" s="347" t="inlineStr">
        <is>
          <t>1010</t>
        </is>
      </c>
    </row>
    <row r="1547">
      <c r="D1547" s="346" t="inlineStr">
        <is>
          <t>2410</t>
        </is>
      </c>
      <c r="E1547" s="336" t="inlineStr">
        <is>
          <t>Zimmerman</t>
        </is>
      </c>
      <c r="F1547" s="347" t="inlineStr">
        <is>
          <t>1010</t>
        </is>
      </c>
    </row>
    <row r="1548">
      <c r="D1548" s="337" t="inlineStr">
        <is>
          <t>1480</t>
        </is>
      </c>
      <c r="E1548" s="335" t="inlineStr">
        <is>
          <t>Awendo</t>
        </is>
      </c>
      <c r="F1548" s="345" t="inlineStr">
        <is>
          <t>1011</t>
        </is>
      </c>
    </row>
    <row r="1549">
      <c r="D1549" s="337" t="inlineStr">
        <is>
          <t>2011</t>
        </is>
      </c>
      <c r="E1549" s="335" t="inlineStr">
        <is>
          <t>Bomet</t>
        </is>
      </c>
      <c r="F1549" s="345" t="inlineStr">
        <is>
          <t>1011</t>
        </is>
      </c>
    </row>
    <row r="1550">
      <c r="D1550" s="337" t="inlineStr">
        <is>
          <t>1477</t>
        </is>
      </c>
      <c r="E1550" s="335" t="inlineStr">
        <is>
          <t>Bungoma</t>
        </is>
      </c>
      <c r="F1550" s="345" t="inlineStr">
        <is>
          <t>1011</t>
        </is>
      </c>
    </row>
    <row r="1551">
      <c r="D1551" s="337" t="inlineStr">
        <is>
          <t>1463</t>
        </is>
      </c>
      <c r="E1551" s="335" t="inlineStr">
        <is>
          <t>Busia</t>
        </is>
      </c>
      <c r="F1551" s="345" t="inlineStr">
        <is>
          <t>1011</t>
        </is>
      </c>
    </row>
    <row r="1552">
      <c r="D1552" s="337" t="inlineStr">
        <is>
          <t>1500</t>
        </is>
      </c>
      <c r="E1552" s="335" t="inlineStr">
        <is>
          <t>Card Centre</t>
        </is>
      </c>
      <c r="F1552" s="345" t="inlineStr">
        <is>
          <t>1011</t>
        </is>
      </c>
    </row>
    <row r="1553">
      <c r="D1553" s="337" t="inlineStr">
        <is>
          <t>1997</t>
        </is>
      </c>
      <c r="E1553" s="335" t="inlineStr">
        <is>
          <t>Central Business Unit</t>
        </is>
      </c>
      <c r="F1553" s="345" t="inlineStr">
        <is>
          <t>1011</t>
        </is>
      </c>
    </row>
    <row r="1554">
      <c r="D1554" s="337" t="inlineStr">
        <is>
          <t>2013</t>
        </is>
      </c>
      <c r="E1554" s="335" t="inlineStr">
        <is>
          <t>Central CLearing Centre</t>
        </is>
      </c>
      <c r="F1554" s="345" t="inlineStr">
        <is>
          <t>1011</t>
        </is>
      </c>
    </row>
    <row r="1555">
      <c r="D1555" s="337" t="inlineStr">
        <is>
          <t>2008</t>
        </is>
      </c>
      <c r="E1555" s="335" t="inlineStr">
        <is>
          <t>Changamwe</t>
        </is>
      </c>
      <c r="F1555" s="345" t="inlineStr">
        <is>
          <t>1011</t>
        </is>
      </c>
    </row>
    <row r="1556">
      <c r="D1556" s="337" t="inlineStr">
        <is>
          <t>2441</t>
        </is>
      </c>
      <c r="E1556" s="335" t="inlineStr">
        <is>
          <t>Eastleigh</t>
        </is>
      </c>
      <c r="F1556" s="345" t="inlineStr">
        <is>
          <t>1011</t>
        </is>
      </c>
    </row>
    <row r="1557">
      <c r="D1557" s="337" t="inlineStr">
        <is>
          <t>1496</t>
        </is>
      </c>
      <c r="E1557" s="335" t="inlineStr">
        <is>
          <t>Eldoret</t>
        </is>
      </c>
      <c r="F1557" s="345" t="inlineStr">
        <is>
          <t>1011</t>
        </is>
      </c>
    </row>
    <row r="1558">
      <c r="D1558" s="337" t="inlineStr">
        <is>
          <t>2445</t>
        </is>
      </c>
      <c r="E1558" s="335" t="inlineStr">
        <is>
          <t>Embu</t>
        </is>
      </c>
      <c r="F1558" s="345" t="inlineStr">
        <is>
          <t>1011</t>
        </is>
      </c>
    </row>
    <row r="1559">
      <c r="D1559" s="337" t="inlineStr">
        <is>
          <t>2009</t>
        </is>
      </c>
      <c r="E1559" s="335" t="inlineStr">
        <is>
          <t>Garissa</t>
        </is>
      </c>
      <c r="F1559" s="345" t="inlineStr">
        <is>
          <t>1011</t>
        </is>
      </c>
    </row>
    <row r="1560">
      <c r="D1560" s="337" t="inlineStr">
        <is>
          <t>1461</t>
        </is>
      </c>
      <c r="E1560" s="335" t="inlineStr">
        <is>
          <t>Harambee</t>
        </is>
      </c>
      <c r="F1560" s="345" t="inlineStr">
        <is>
          <t>1011</t>
        </is>
      </c>
    </row>
    <row r="1561">
      <c r="D1561" s="337" t="inlineStr">
        <is>
          <t>2455</t>
        </is>
      </c>
      <c r="E1561" s="335" t="inlineStr">
        <is>
          <t>Head Office</t>
        </is>
      </c>
      <c r="F1561" s="345" t="inlineStr">
        <is>
          <t>1011</t>
        </is>
      </c>
    </row>
    <row r="1562">
      <c r="D1562" s="337" t="inlineStr">
        <is>
          <t>1462</t>
        </is>
      </c>
      <c r="E1562" s="335" t="inlineStr">
        <is>
          <t>Hill</t>
        </is>
      </c>
      <c r="F1562" s="345" t="inlineStr">
        <is>
          <t>1011</t>
        </is>
      </c>
    </row>
    <row r="1563">
      <c r="D1563" s="337" t="inlineStr">
        <is>
          <t>1482</t>
        </is>
      </c>
      <c r="E1563" s="335" t="inlineStr">
        <is>
          <t>Hospital Br.</t>
        </is>
      </c>
      <c r="F1563" s="345" t="inlineStr">
        <is>
          <t>1011</t>
        </is>
      </c>
    </row>
    <row r="1564">
      <c r="D1564" s="337" t="inlineStr">
        <is>
          <t>1495</t>
        </is>
      </c>
      <c r="E1564" s="335" t="inlineStr">
        <is>
          <t>J.K.I.A.</t>
        </is>
      </c>
      <c r="F1564" s="345" t="inlineStr">
        <is>
          <t>1011</t>
        </is>
      </c>
    </row>
    <row r="1565">
      <c r="D1565" s="337" t="inlineStr">
        <is>
          <t>2446</t>
        </is>
      </c>
      <c r="E1565" s="335" t="inlineStr">
        <is>
          <t>Kakamega</t>
        </is>
      </c>
      <c r="F1565" s="345" t="inlineStr">
        <is>
          <t>1011</t>
        </is>
      </c>
    </row>
    <row r="1566">
      <c r="D1566" s="337" t="inlineStr">
        <is>
          <t>2442</t>
        </is>
      </c>
      <c r="E1566" s="335" t="inlineStr">
        <is>
          <t>Kapsabet</t>
        </is>
      </c>
      <c r="F1566" s="345" t="inlineStr">
        <is>
          <t>1011</t>
        </is>
      </c>
    </row>
    <row r="1567">
      <c r="D1567" s="337" t="inlineStr">
        <is>
          <t>1466</t>
        </is>
      </c>
      <c r="E1567" s="335" t="inlineStr">
        <is>
          <t>Karatina</t>
        </is>
      </c>
      <c r="F1567" s="345" t="inlineStr">
        <is>
          <t>1011</t>
        </is>
      </c>
    </row>
    <row r="1568">
      <c r="D1568" s="337" t="inlineStr">
        <is>
          <t>1460</t>
        </is>
      </c>
      <c r="E1568" s="335" t="inlineStr">
        <is>
          <t>Kenyatta</t>
        </is>
      </c>
      <c r="F1568" s="345" t="inlineStr">
        <is>
          <t>1011</t>
        </is>
      </c>
    </row>
    <row r="1569">
      <c r="D1569" s="337" t="inlineStr">
        <is>
          <t>2001</t>
        </is>
      </c>
      <c r="E1569" s="335" t="inlineStr">
        <is>
          <t>KENYATTA UNIVERSITY</t>
        </is>
      </c>
      <c r="F1569" s="345" t="inlineStr">
        <is>
          <t>1011</t>
        </is>
      </c>
    </row>
    <row r="1570">
      <c r="D1570" s="337" t="inlineStr">
        <is>
          <t>2440</t>
        </is>
      </c>
      <c r="E1570" s="335" t="inlineStr">
        <is>
          <t>Kiambu</t>
        </is>
      </c>
      <c r="F1570" s="345" t="inlineStr">
        <is>
          <t>1011</t>
        </is>
      </c>
    </row>
    <row r="1571">
      <c r="D1571" s="337" t="inlineStr">
        <is>
          <t>2000</t>
        </is>
      </c>
      <c r="E1571" s="335" t="inlineStr">
        <is>
          <t>KIANJAI</t>
        </is>
      </c>
      <c r="F1571" s="345" t="inlineStr">
        <is>
          <t>1011</t>
        </is>
      </c>
    </row>
    <row r="1572">
      <c r="D1572" s="337" t="inlineStr">
        <is>
          <t>1468</t>
        </is>
      </c>
      <c r="E1572" s="335" t="inlineStr">
        <is>
          <t>Kisii</t>
        </is>
      </c>
      <c r="F1572" s="345" t="inlineStr">
        <is>
          <t>1011</t>
        </is>
      </c>
    </row>
    <row r="1573">
      <c r="D1573" s="337" t="inlineStr">
        <is>
          <t>1498</t>
        </is>
      </c>
      <c r="E1573" s="335" t="inlineStr">
        <is>
          <t>Kisumu</t>
        </is>
      </c>
      <c r="F1573" s="345" t="inlineStr">
        <is>
          <t>1011</t>
        </is>
      </c>
    </row>
    <row r="1574">
      <c r="D1574" s="337" t="inlineStr">
        <is>
          <t>1471</t>
        </is>
      </c>
      <c r="E1574" s="335" t="inlineStr">
        <is>
          <t>Kitale</t>
        </is>
      </c>
      <c r="F1574" s="345" t="inlineStr">
        <is>
          <t>1011</t>
        </is>
      </c>
    </row>
    <row r="1575">
      <c r="D1575" s="337" t="inlineStr">
        <is>
          <t>2006</t>
        </is>
      </c>
      <c r="E1575" s="335" t="inlineStr">
        <is>
          <t>Kitengela</t>
        </is>
      </c>
      <c r="F1575" s="345" t="inlineStr">
        <is>
          <t>1011</t>
        </is>
      </c>
    </row>
    <row r="1576">
      <c r="D1576" s="337" t="inlineStr">
        <is>
          <t>1475</t>
        </is>
      </c>
      <c r="E1576" s="335" t="inlineStr">
        <is>
          <t>Kitui</t>
        </is>
      </c>
      <c r="F1576" s="345" t="inlineStr">
        <is>
          <t>1011</t>
        </is>
      </c>
    </row>
    <row r="1577">
      <c r="D1577" s="337" t="inlineStr">
        <is>
          <t>1474</t>
        </is>
      </c>
      <c r="E1577" s="335" t="inlineStr">
        <is>
          <t>Limuru</t>
        </is>
      </c>
      <c r="F1577" s="345" t="inlineStr">
        <is>
          <t>1011</t>
        </is>
      </c>
    </row>
    <row r="1578">
      <c r="D1578" s="337" t="inlineStr">
        <is>
          <t>2005</t>
        </is>
      </c>
      <c r="E1578" s="335" t="inlineStr">
        <is>
          <t>Machakos</t>
        </is>
      </c>
      <c r="F1578" s="345" t="inlineStr">
        <is>
          <t>1011</t>
        </is>
      </c>
    </row>
    <row r="1579">
      <c r="D1579" s="337" t="inlineStr">
        <is>
          <t>1469</t>
        </is>
      </c>
      <c r="E1579" s="335" t="inlineStr">
        <is>
          <t>Malindi</t>
        </is>
      </c>
      <c r="F1579" s="345" t="inlineStr">
        <is>
          <t>1011</t>
        </is>
      </c>
    </row>
    <row r="1580">
      <c r="D1580" s="337" t="inlineStr">
        <is>
          <t>1998</t>
        </is>
      </c>
      <c r="E1580" s="335" t="inlineStr">
        <is>
          <t>Maua</t>
        </is>
      </c>
      <c r="F1580" s="345" t="inlineStr">
        <is>
          <t>1011</t>
        </is>
      </c>
    </row>
    <row r="1581">
      <c r="D1581" s="337" t="inlineStr">
        <is>
          <t>1465</t>
        </is>
      </c>
      <c r="E1581" s="335" t="inlineStr">
        <is>
          <t>Meru</t>
        </is>
      </c>
      <c r="F1581" s="345" t="inlineStr">
        <is>
          <t>1011</t>
        </is>
      </c>
    </row>
    <row r="1582">
      <c r="D1582" s="337" t="inlineStr">
        <is>
          <t>2450</t>
        </is>
      </c>
      <c r="E1582" s="335" t="inlineStr">
        <is>
          <t>Migori</t>
        </is>
      </c>
      <c r="F1582" s="345" t="inlineStr">
        <is>
          <t>1011</t>
        </is>
      </c>
    </row>
    <row r="1583">
      <c r="D1583" s="337" t="inlineStr">
        <is>
          <t>2004</t>
        </is>
      </c>
      <c r="E1583" s="335" t="inlineStr">
        <is>
          <t>MOI INT AIRPORT MOMBASA</t>
        </is>
      </c>
      <c r="F1583" s="345" t="inlineStr">
        <is>
          <t>1011</t>
        </is>
      </c>
    </row>
    <row r="1584">
      <c r="D1584" s="337" t="inlineStr">
        <is>
          <t>2003</t>
        </is>
      </c>
      <c r="E1584" s="335" t="inlineStr">
        <is>
          <t>MOI UNIVERSITY ELDORET</t>
        </is>
      </c>
      <c r="F1584" s="345" t="inlineStr">
        <is>
          <t>1011</t>
        </is>
      </c>
    </row>
    <row r="1585">
      <c r="D1585" s="337" t="inlineStr">
        <is>
          <t>2453</t>
        </is>
      </c>
      <c r="E1585" s="335" t="inlineStr">
        <is>
          <t>MOIS BRIDGE</t>
        </is>
      </c>
      <c r="F1585" s="345" t="inlineStr">
        <is>
          <t>1011</t>
        </is>
      </c>
    </row>
    <row r="1586">
      <c r="D1586" s="337" t="inlineStr">
        <is>
          <t>1476</t>
        </is>
      </c>
      <c r="E1586" s="335" t="inlineStr">
        <is>
          <t>Molo</t>
        </is>
      </c>
      <c r="F1586" s="345" t="inlineStr">
        <is>
          <t>1011</t>
        </is>
      </c>
    </row>
    <row r="1587">
      <c r="D1587" s="337" t="inlineStr">
        <is>
          <t>2010</t>
        </is>
      </c>
      <c r="E1587" s="335" t="inlineStr">
        <is>
          <t>Momasa Polytechnic University College</t>
        </is>
      </c>
      <c r="F1587" s="345" t="inlineStr">
        <is>
          <t>1011</t>
        </is>
      </c>
    </row>
    <row r="1588">
      <c r="D1588" s="337" t="inlineStr">
        <is>
          <t>2007</t>
        </is>
      </c>
      <c r="E1588" s="335" t="inlineStr">
        <is>
          <t>Mtwapa</t>
        </is>
      </c>
      <c r="F1588" s="345" t="inlineStr">
        <is>
          <t>1011</t>
        </is>
      </c>
    </row>
    <row r="1589">
      <c r="D1589" s="337" t="inlineStr">
        <is>
          <t>1999</t>
        </is>
      </c>
      <c r="E1589" s="335" t="inlineStr">
        <is>
          <t>MUTOMO</t>
        </is>
      </c>
      <c r="F1589" s="345" t="inlineStr">
        <is>
          <t>1011</t>
        </is>
      </c>
    </row>
    <row r="1590">
      <c r="D1590" s="337" t="inlineStr">
        <is>
          <t>1487</t>
        </is>
      </c>
      <c r="E1590" s="335" t="inlineStr">
        <is>
          <t>Nakuru</t>
        </is>
      </c>
      <c r="F1590" s="345" t="inlineStr">
        <is>
          <t>1011</t>
        </is>
      </c>
    </row>
    <row r="1591">
      <c r="D1591" s="337" t="inlineStr">
        <is>
          <t>2449</t>
        </is>
      </c>
      <c r="E1591" s="335" t="inlineStr">
        <is>
          <t>Nandi Hills</t>
        </is>
      </c>
      <c r="F1591" s="345" t="inlineStr">
        <is>
          <t>1011</t>
        </is>
      </c>
    </row>
    <row r="1592">
      <c r="D1592" s="337" t="inlineStr">
        <is>
          <t>1467</t>
        </is>
      </c>
      <c r="E1592" s="335" t="inlineStr">
        <is>
          <t>Narok</t>
        </is>
      </c>
      <c r="F1592" s="345" t="inlineStr">
        <is>
          <t>1011</t>
        </is>
      </c>
    </row>
    <row r="1593">
      <c r="D1593" s="337" t="inlineStr">
        <is>
          <t>1478</t>
        </is>
      </c>
      <c r="E1593" s="335" t="inlineStr">
        <is>
          <t>Nkrumah</t>
        </is>
      </c>
      <c r="F1593" s="345" t="inlineStr">
        <is>
          <t>1011</t>
        </is>
      </c>
    </row>
    <row r="1594">
      <c r="D1594" s="337" t="inlineStr">
        <is>
          <t>1470</t>
        </is>
      </c>
      <c r="E1594" s="335" t="inlineStr">
        <is>
          <t>Nyeri</t>
        </is>
      </c>
      <c r="F1594" s="345" t="inlineStr">
        <is>
          <t>1011</t>
        </is>
      </c>
    </row>
    <row r="1595">
      <c r="D1595" s="337" t="inlineStr">
        <is>
          <t>2444</t>
        </is>
      </c>
      <c r="E1595" s="335" t="inlineStr">
        <is>
          <t>Ongata Rongai</t>
        </is>
      </c>
      <c r="F1595" s="345" t="inlineStr">
        <is>
          <t>1011</t>
        </is>
      </c>
    </row>
    <row r="1596">
      <c r="D1596" s="337" t="inlineStr">
        <is>
          <t>1481</t>
        </is>
      </c>
      <c r="E1596" s="335" t="inlineStr">
        <is>
          <t>Portway-msa</t>
        </is>
      </c>
      <c r="F1596" s="345" t="inlineStr">
        <is>
          <t>1011</t>
        </is>
      </c>
    </row>
    <row r="1597">
      <c r="D1597" s="337" t="inlineStr">
        <is>
          <t>2443</t>
        </is>
      </c>
      <c r="E1597" s="335" t="inlineStr">
        <is>
          <t>Ruiru</t>
        </is>
      </c>
      <c r="F1597" s="345" t="inlineStr">
        <is>
          <t>1011</t>
        </is>
      </c>
    </row>
    <row r="1598">
      <c r="D1598" s="337" t="inlineStr">
        <is>
          <t>2012</t>
        </is>
      </c>
      <c r="E1598" s="335" t="inlineStr">
        <is>
          <t>SEKU</t>
        </is>
      </c>
      <c r="F1598" s="345" t="inlineStr">
        <is>
          <t>1011</t>
        </is>
      </c>
    </row>
    <row r="1599">
      <c r="D1599" s="337" t="inlineStr">
        <is>
          <t>2002</t>
        </is>
      </c>
      <c r="E1599" s="335" t="inlineStr">
        <is>
          <t>ST PAULS UNIVERSITY</t>
        </is>
      </c>
      <c r="F1599" s="345" t="inlineStr">
        <is>
          <t>1011</t>
        </is>
      </c>
    </row>
    <row r="1600">
      <c r="D1600" s="337" t="inlineStr">
        <is>
          <t>2454</t>
        </is>
      </c>
      <c r="E1600" s="335" t="inlineStr">
        <is>
          <t>Thika</t>
        </is>
      </c>
      <c r="F1600" s="345" t="inlineStr">
        <is>
          <t>1011</t>
        </is>
      </c>
    </row>
    <row r="1601">
      <c r="D1601" s="337" t="inlineStr">
        <is>
          <t>2452</t>
        </is>
      </c>
      <c r="E1601" s="335" t="inlineStr">
        <is>
          <t>Times Tower</t>
        </is>
      </c>
      <c r="F1601" s="345" t="inlineStr">
        <is>
          <t>1011</t>
        </is>
      </c>
    </row>
    <row r="1602">
      <c r="D1602" s="337" t="inlineStr">
        <is>
          <t>2447</t>
        </is>
      </c>
      <c r="E1602" s="335" t="inlineStr">
        <is>
          <t>Ukunda</t>
        </is>
      </c>
      <c r="F1602" s="345" t="inlineStr">
        <is>
          <t>1011</t>
        </is>
      </c>
    </row>
    <row r="1603">
      <c r="D1603" s="337" t="inlineStr">
        <is>
          <t>2448</t>
        </is>
      </c>
      <c r="E1603" s="335" t="inlineStr">
        <is>
          <t>Upper Hill</t>
        </is>
      </c>
      <c r="F1603" s="345" t="inlineStr">
        <is>
          <t>1011</t>
        </is>
      </c>
    </row>
    <row r="1604">
      <c r="D1604" s="337" t="inlineStr">
        <is>
          <t>2451</t>
        </is>
      </c>
      <c r="E1604" s="335" t="inlineStr">
        <is>
          <t>Westlands</t>
        </is>
      </c>
      <c r="F1604" s="345" t="inlineStr">
        <is>
          <t>1011</t>
        </is>
      </c>
    </row>
    <row r="1605">
      <c r="D1605" s="337" t="inlineStr">
        <is>
          <t>1494</t>
        </is>
      </c>
      <c r="E1605" s="335" t="inlineStr">
        <is>
          <t>WILSON AIRPORT</t>
        </is>
      </c>
      <c r="F1605" s="345" t="inlineStr">
        <is>
          <t>1011</t>
        </is>
      </c>
    </row>
    <row r="1606">
      <c r="D1606" s="346" t="inlineStr">
        <is>
          <t>1504</t>
        </is>
      </c>
      <c r="E1606" s="336" t="inlineStr">
        <is>
          <t>Eldoret</t>
        </is>
      </c>
      <c r="F1606" s="347" t="inlineStr">
        <is>
          <t>1012</t>
        </is>
      </c>
    </row>
    <row r="1607">
      <c r="D1607" s="346" t="inlineStr">
        <is>
          <t>2014</t>
        </is>
      </c>
      <c r="E1607" s="336" t="inlineStr">
        <is>
          <t>Head Office</t>
        </is>
      </c>
      <c r="F1607" s="347" t="inlineStr">
        <is>
          <t>1012</t>
        </is>
      </c>
    </row>
    <row r="1608">
      <c r="D1608" s="346" t="inlineStr">
        <is>
          <t>1505</t>
        </is>
      </c>
      <c r="E1608" s="336" t="inlineStr">
        <is>
          <t>Kitale</t>
        </is>
      </c>
      <c r="F1608" s="347" t="inlineStr">
        <is>
          <t>1012</t>
        </is>
      </c>
    </row>
    <row r="1609">
      <c r="D1609" s="346" t="inlineStr">
        <is>
          <t>1502</t>
        </is>
      </c>
      <c r="E1609" s="336" t="inlineStr">
        <is>
          <t>Koinange Street</t>
        </is>
      </c>
      <c r="F1609" s="347" t="inlineStr">
        <is>
          <t>1012</t>
        </is>
      </c>
    </row>
    <row r="1610">
      <c r="D1610" s="346" t="inlineStr">
        <is>
          <t>2017</t>
        </is>
      </c>
      <c r="E1610" s="336" t="inlineStr">
        <is>
          <t>Nakumatt Mega</t>
        </is>
      </c>
      <c r="F1610" s="347" t="inlineStr">
        <is>
          <t>1012</t>
        </is>
      </c>
    </row>
    <row r="1611">
      <c r="D1611" s="346" t="inlineStr">
        <is>
          <t>2499</t>
        </is>
      </c>
      <c r="E1611" s="336" t="inlineStr">
        <is>
          <t>Nakuru</t>
        </is>
      </c>
      <c r="F1611" s="347" t="inlineStr">
        <is>
          <t>1012</t>
        </is>
      </c>
    </row>
    <row r="1612">
      <c r="D1612" s="346" t="inlineStr">
        <is>
          <t>2015</t>
        </is>
      </c>
      <c r="E1612" s="336" t="inlineStr">
        <is>
          <t>Nakuru</t>
        </is>
      </c>
      <c r="F1612" s="347" t="inlineStr">
        <is>
          <t>1012</t>
        </is>
      </c>
    </row>
    <row r="1613">
      <c r="D1613" s="346" t="inlineStr">
        <is>
          <t>2016</t>
        </is>
      </c>
      <c r="E1613" s="336" t="inlineStr">
        <is>
          <t>Westlands</t>
        </is>
      </c>
      <c r="F1613" s="347" t="inlineStr">
        <is>
          <t>1012</t>
        </is>
      </c>
    </row>
    <row r="1614">
      <c r="D1614" s="337" t="inlineStr">
        <is>
          <t>1508</t>
        </is>
      </c>
      <c r="E1614" s="335" t="inlineStr">
        <is>
          <t>Gigiri Agency</t>
        </is>
      </c>
      <c r="F1614" s="345" t="inlineStr">
        <is>
          <t>1013</t>
        </is>
      </c>
    </row>
    <row r="1615">
      <c r="D1615" s="337" t="inlineStr">
        <is>
          <t>1506</t>
        </is>
      </c>
      <c r="E1615" s="335" t="inlineStr">
        <is>
          <t>Head Office , Nairobi</t>
        </is>
      </c>
      <c r="F1615" s="345" t="inlineStr">
        <is>
          <t>1013</t>
        </is>
      </c>
    </row>
    <row r="1616">
      <c r="D1616" s="337" t="inlineStr">
        <is>
          <t>2018</t>
        </is>
      </c>
      <c r="E1616" s="335" t="inlineStr">
        <is>
          <t>Kisumu</t>
        </is>
      </c>
      <c r="F1616" s="345" t="inlineStr">
        <is>
          <t>1013</t>
        </is>
      </c>
    </row>
    <row r="1617">
      <c r="D1617" s="337" t="inlineStr">
        <is>
          <t>1507</t>
        </is>
      </c>
      <c r="E1617" s="335" t="inlineStr">
        <is>
          <t>Mombasa</t>
        </is>
      </c>
      <c r="F1617" s="345" t="inlineStr">
        <is>
          <t>1013</t>
        </is>
      </c>
    </row>
    <row r="1618">
      <c r="D1618" s="346" t="inlineStr">
        <is>
          <t>1509</t>
        </is>
      </c>
      <c r="E1618" s="336" t="inlineStr">
        <is>
          <t>Head Office</t>
        </is>
      </c>
      <c r="F1618" s="347" t="inlineStr">
        <is>
          <t>1014</t>
        </is>
      </c>
    </row>
    <row r="1619">
      <c r="D1619" s="346" t="inlineStr">
        <is>
          <t>2019</t>
        </is>
      </c>
      <c r="E1619" s="336" t="inlineStr">
        <is>
          <t>Industrial Area</t>
        </is>
      </c>
      <c r="F1619" s="347" t="inlineStr">
        <is>
          <t>1014</t>
        </is>
      </c>
    </row>
    <row r="1620">
      <c r="D1620" s="346" t="inlineStr">
        <is>
          <t>1510</t>
        </is>
      </c>
      <c r="E1620" s="336" t="inlineStr">
        <is>
          <t>Mombasa</t>
        </is>
      </c>
      <c r="F1620" s="347" t="inlineStr">
        <is>
          <t>1014</t>
        </is>
      </c>
    </row>
    <row r="1621">
      <c r="D1621" s="346" t="inlineStr">
        <is>
          <t>2020</t>
        </is>
      </c>
      <c r="E1621" s="336" t="inlineStr">
        <is>
          <t>Westlands</t>
        </is>
      </c>
      <c r="F1621" s="347" t="inlineStr">
        <is>
          <t>1014</t>
        </is>
      </c>
    </row>
    <row r="1622">
      <c r="D1622" s="337" t="inlineStr">
        <is>
          <t>2439</t>
        </is>
      </c>
      <c r="E1622" s="335" t="inlineStr">
        <is>
          <t>Head Office</t>
        </is>
      </c>
      <c r="F1622" s="345" t="inlineStr">
        <is>
          <t>1015</t>
        </is>
      </c>
    </row>
    <row r="1623">
      <c r="D1623" s="337" t="inlineStr">
        <is>
          <t>2022</t>
        </is>
      </c>
      <c r="E1623" s="335" t="inlineStr">
        <is>
          <t>Industrial Area</t>
        </is>
      </c>
      <c r="F1623" s="345" t="inlineStr">
        <is>
          <t>1015</t>
        </is>
      </c>
    </row>
    <row r="1624">
      <c r="D1624" s="337" t="inlineStr">
        <is>
          <t>2021</t>
        </is>
      </c>
      <c r="E1624" s="335" t="inlineStr">
        <is>
          <t>Milimani</t>
        </is>
      </c>
      <c r="F1624" s="345" t="inlineStr">
        <is>
          <t>1015</t>
        </is>
      </c>
    </row>
    <row r="1625">
      <c r="D1625" s="337" t="inlineStr">
        <is>
          <t>1513</t>
        </is>
      </c>
      <c r="E1625" s="335" t="inlineStr">
        <is>
          <t>Mombasa</t>
        </is>
      </c>
      <c r="F1625" s="345" t="inlineStr">
        <is>
          <t>1015</t>
        </is>
      </c>
    </row>
    <row r="1626">
      <c r="D1626" s="337" t="inlineStr">
        <is>
          <t>1512</t>
        </is>
      </c>
      <c r="E1626" s="335" t="inlineStr">
        <is>
          <t>Nairobi</t>
        </is>
      </c>
      <c r="F1626" s="345" t="inlineStr">
        <is>
          <t>1015</t>
        </is>
      </c>
    </row>
    <row r="1627">
      <c r="D1627" s="346" t="inlineStr">
        <is>
          <t>2035</t>
        </is>
      </c>
      <c r="E1627" s="336" t="inlineStr">
        <is>
          <t>Bungoma</t>
        </is>
      </c>
      <c r="F1627" s="347" t="inlineStr">
        <is>
          <t>1016</t>
        </is>
      </c>
    </row>
    <row r="1628">
      <c r="D1628" s="346" t="inlineStr">
        <is>
          <t>2034</t>
        </is>
      </c>
      <c r="E1628" s="336" t="inlineStr">
        <is>
          <t>Changamwe</t>
        </is>
      </c>
      <c r="F1628" s="347" t="inlineStr">
        <is>
          <t>1016</t>
        </is>
      </c>
    </row>
    <row r="1629">
      <c r="D1629" s="346" t="inlineStr">
        <is>
          <t>2030</t>
        </is>
      </c>
      <c r="E1629" s="336" t="inlineStr">
        <is>
          <t>Eldoret</t>
        </is>
      </c>
      <c r="F1629" s="347" t="inlineStr">
        <is>
          <t>1016</t>
        </is>
      </c>
    </row>
    <row r="1630">
      <c r="D1630" s="346" t="inlineStr">
        <is>
          <t>2031</t>
        </is>
      </c>
      <c r="E1630" s="336" t="inlineStr">
        <is>
          <t>Embakasi</t>
        </is>
      </c>
      <c r="F1630" s="347" t="inlineStr">
        <is>
          <t>1016</t>
        </is>
      </c>
    </row>
    <row r="1631">
      <c r="D1631" s="346" t="inlineStr">
        <is>
          <t>2040</t>
        </is>
      </c>
      <c r="E1631" s="336" t="inlineStr">
        <is>
          <t>Galleria</t>
        </is>
      </c>
      <c r="F1631" s="347" t="inlineStr">
        <is>
          <t>1016</t>
        </is>
      </c>
    </row>
    <row r="1632">
      <c r="D1632" s="346" t="inlineStr">
        <is>
          <t>2041</t>
        </is>
      </c>
      <c r="E1632" s="336" t="inlineStr">
        <is>
          <t>Greenspan Mall</t>
        </is>
      </c>
      <c r="F1632" s="347" t="inlineStr">
        <is>
          <t>1016</t>
        </is>
      </c>
    </row>
    <row r="1633">
      <c r="D1633" s="346" t="inlineStr">
        <is>
          <t>1901</t>
        </is>
      </c>
      <c r="E1633" s="336" t="inlineStr">
        <is>
          <t>Kenyatta Avenue</t>
        </is>
      </c>
      <c r="F1633" s="347" t="inlineStr">
        <is>
          <t>1016</t>
        </is>
      </c>
    </row>
    <row r="1634">
      <c r="D1634" s="346" t="inlineStr">
        <is>
          <t>2032</t>
        </is>
      </c>
      <c r="E1634" s="336" t="inlineStr">
        <is>
          <t>Kericho</t>
        </is>
      </c>
      <c r="F1634" s="347" t="inlineStr">
        <is>
          <t>1016</t>
        </is>
      </c>
    </row>
    <row r="1635">
      <c r="D1635" s="346" t="inlineStr">
        <is>
          <t>2036</t>
        </is>
      </c>
      <c r="E1635" s="336" t="inlineStr">
        <is>
          <t>KISII</t>
        </is>
      </c>
      <c r="F1635" s="347" t="inlineStr">
        <is>
          <t>1016</t>
        </is>
      </c>
    </row>
    <row r="1636">
      <c r="D1636" s="346" t="inlineStr">
        <is>
          <t>2025</t>
        </is>
      </c>
      <c r="E1636" s="336" t="inlineStr">
        <is>
          <t>Kisumu</t>
        </is>
      </c>
      <c r="F1636" s="347" t="inlineStr">
        <is>
          <t>1016</t>
        </is>
      </c>
    </row>
    <row r="1637">
      <c r="D1637" s="346" t="inlineStr">
        <is>
          <t>2038</t>
        </is>
      </c>
      <c r="E1637" s="336" t="inlineStr">
        <is>
          <t>Kitengela</t>
        </is>
      </c>
      <c r="F1637" s="347" t="inlineStr">
        <is>
          <t>1016</t>
        </is>
      </c>
    </row>
    <row r="1638">
      <c r="D1638" s="346" t="inlineStr">
        <is>
          <t>2044</t>
        </is>
      </c>
      <c r="E1638" s="336" t="inlineStr">
        <is>
          <t>Lunga Lunga Road</t>
        </is>
      </c>
      <c r="F1638" s="347" t="inlineStr">
        <is>
          <t>1016</t>
        </is>
      </c>
    </row>
    <row r="1639">
      <c r="D1639" s="346" t="inlineStr">
        <is>
          <t>2037</t>
        </is>
      </c>
      <c r="E1639" s="336" t="inlineStr">
        <is>
          <t>MERU</t>
        </is>
      </c>
      <c r="F1639" s="347" t="inlineStr">
        <is>
          <t>1016</t>
        </is>
      </c>
    </row>
    <row r="1640">
      <c r="D1640" s="346" t="inlineStr">
        <is>
          <t>2614</t>
        </is>
      </c>
      <c r="E1640" s="336" t="inlineStr">
        <is>
          <t>Moi Avenue Mombasa</t>
        </is>
      </c>
      <c r="F1640" s="347" t="inlineStr">
        <is>
          <t>1016</t>
        </is>
      </c>
    </row>
    <row r="1641">
      <c r="D1641" s="346" t="inlineStr">
        <is>
          <t>1515</t>
        </is>
      </c>
      <c r="E1641" s="336" t="inlineStr">
        <is>
          <t>Mombasa</t>
        </is>
      </c>
      <c r="F1641" s="347" t="inlineStr">
        <is>
          <t>1016</t>
        </is>
      </c>
    </row>
    <row r="1642">
      <c r="D1642" s="346" t="inlineStr">
        <is>
          <t>2027</t>
        </is>
      </c>
      <c r="E1642" s="336" t="inlineStr">
        <is>
          <t>Monrovia Street</t>
        </is>
      </c>
      <c r="F1642" s="347" t="inlineStr">
        <is>
          <t>1016</t>
        </is>
      </c>
    </row>
    <row r="1643">
      <c r="D1643" s="346" t="inlineStr">
        <is>
          <t>2028</t>
        </is>
      </c>
      <c r="E1643" s="336" t="inlineStr">
        <is>
          <t>Nakuru</t>
        </is>
      </c>
      <c r="F1643" s="347" t="inlineStr">
        <is>
          <t>1016</t>
        </is>
      </c>
    </row>
    <row r="1644">
      <c r="D1644" s="346" t="inlineStr">
        <is>
          <t>2043</t>
        </is>
      </c>
      <c r="E1644" s="336" t="inlineStr">
        <is>
          <t>Nanyuki</t>
        </is>
      </c>
      <c r="F1644" s="347" t="inlineStr">
        <is>
          <t>1016</t>
        </is>
      </c>
    </row>
    <row r="1645">
      <c r="D1645" s="346" t="inlineStr">
        <is>
          <t>2029</t>
        </is>
      </c>
      <c r="E1645" s="336" t="inlineStr">
        <is>
          <t>Ngong Road</t>
        </is>
      </c>
      <c r="F1645" s="347" t="inlineStr">
        <is>
          <t>1016</t>
        </is>
      </c>
    </row>
    <row r="1646">
      <c r="D1646" s="346" t="inlineStr">
        <is>
          <t>2039</t>
        </is>
      </c>
      <c r="E1646" s="336" t="inlineStr">
        <is>
          <t>Nyali</t>
        </is>
      </c>
      <c r="F1646" s="347" t="inlineStr">
        <is>
          <t>1016</t>
        </is>
      </c>
    </row>
    <row r="1647">
      <c r="D1647" s="346" t="inlineStr">
        <is>
          <t>2033</t>
        </is>
      </c>
      <c r="E1647" s="336" t="inlineStr">
        <is>
          <t>Ongata Rongai</t>
        </is>
      </c>
      <c r="F1647" s="347" t="inlineStr">
        <is>
          <t>1016</t>
        </is>
      </c>
    </row>
    <row r="1648">
      <c r="D1648" s="346" t="inlineStr">
        <is>
          <t>2615</t>
        </is>
      </c>
      <c r="E1648" s="336" t="inlineStr">
        <is>
          <t>Ongata Rongai-2</t>
        </is>
      </c>
      <c r="F1648" s="347" t="inlineStr">
        <is>
          <t>1016</t>
        </is>
      </c>
    </row>
    <row r="1649">
      <c r="D1649" s="346" t="inlineStr">
        <is>
          <t>1514</t>
        </is>
      </c>
      <c r="E1649" s="336" t="inlineStr">
        <is>
          <t>Reinsurance Plaza Nairobi</t>
        </is>
      </c>
      <c r="F1649" s="347" t="inlineStr">
        <is>
          <t>1016</t>
        </is>
      </c>
    </row>
    <row r="1650">
      <c r="D1650" s="346" t="inlineStr">
        <is>
          <t>1516</t>
        </is>
      </c>
      <c r="E1650" s="336" t="inlineStr">
        <is>
          <t>River Road</t>
        </is>
      </c>
      <c r="F1650" s="347" t="inlineStr">
        <is>
          <t>1016</t>
        </is>
      </c>
    </row>
    <row r="1651">
      <c r="D1651" s="346" t="inlineStr">
        <is>
          <t>2026</t>
        </is>
      </c>
      <c r="E1651" s="336" t="inlineStr">
        <is>
          <t>Ruaraka</t>
        </is>
      </c>
      <c r="F1651" s="347" t="inlineStr">
        <is>
          <t>1016</t>
        </is>
      </c>
    </row>
    <row r="1652">
      <c r="D1652" s="346" t="inlineStr">
        <is>
          <t>2613</t>
        </is>
      </c>
      <c r="E1652" s="336" t="inlineStr">
        <is>
          <t>Sameer Business Park</t>
        </is>
      </c>
      <c r="F1652" s="347" t="inlineStr">
        <is>
          <t>1016</t>
        </is>
      </c>
    </row>
    <row r="1653">
      <c r="D1653" s="346" t="inlineStr">
        <is>
          <t>1517</t>
        </is>
      </c>
      <c r="E1653" s="336" t="inlineStr">
        <is>
          <t>Thika</t>
        </is>
      </c>
      <c r="F1653" s="347" t="inlineStr">
        <is>
          <t>1016</t>
        </is>
      </c>
    </row>
    <row r="1654">
      <c r="D1654" s="346" t="inlineStr">
        <is>
          <t>2024</t>
        </is>
      </c>
      <c r="E1654" s="336" t="inlineStr">
        <is>
          <t>Uhuru Highway</t>
        </is>
      </c>
      <c r="F1654" s="347" t="inlineStr">
        <is>
          <t>1016</t>
        </is>
      </c>
    </row>
    <row r="1655">
      <c r="D1655" s="346" t="inlineStr">
        <is>
          <t>2042</t>
        </is>
      </c>
      <c r="E1655" s="336" t="inlineStr">
        <is>
          <t>Upper Hilll</t>
        </is>
      </c>
      <c r="F1655" s="347" t="inlineStr">
        <is>
          <t>1016</t>
        </is>
      </c>
    </row>
    <row r="1656">
      <c r="D1656" s="346" t="inlineStr">
        <is>
          <t>2023</t>
        </is>
      </c>
      <c r="E1656" s="336" t="inlineStr">
        <is>
          <t>Westlands</t>
        </is>
      </c>
      <c r="F1656" s="347" t="inlineStr">
        <is>
          <t>1016</t>
        </is>
      </c>
    </row>
    <row r="1657">
      <c r="D1657" s="337" t="inlineStr">
        <is>
          <t>2045</t>
        </is>
      </c>
      <c r="E1657" s="335" t="inlineStr">
        <is>
          <t>Eastleigh</t>
        </is>
      </c>
      <c r="F1657" s="345" t="inlineStr">
        <is>
          <t>1017</t>
        </is>
      </c>
    </row>
    <row r="1658">
      <c r="D1658" s="337" t="inlineStr">
        <is>
          <t>1518</t>
        </is>
      </c>
      <c r="E1658" s="335" t="inlineStr">
        <is>
          <t>Head Office</t>
        </is>
      </c>
      <c r="F1658" s="345" t="inlineStr">
        <is>
          <t>1017</t>
        </is>
      </c>
    </row>
    <row r="1659">
      <c r="D1659" s="337" t="inlineStr">
        <is>
          <t>2047</t>
        </is>
      </c>
      <c r="E1659" s="335" t="inlineStr">
        <is>
          <t>Mombasa</t>
        </is>
      </c>
      <c r="F1659" s="345" t="inlineStr">
        <is>
          <t>1017</t>
        </is>
      </c>
    </row>
    <row r="1660">
      <c r="D1660" s="337" t="inlineStr">
        <is>
          <t>2048</t>
        </is>
      </c>
      <c r="E1660" s="335" t="inlineStr">
        <is>
          <t>Nakuru</t>
        </is>
      </c>
      <c r="F1660" s="345" t="inlineStr">
        <is>
          <t>1017</t>
        </is>
      </c>
    </row>
    <row r="1661">
      <c r="D1661" s="346" t="inlineStr">
        <is>
          <t>2055</t>
        </is>
      </c>
      <c r="E1661" s="336" t="inlineStr">
        <is>
          <t>Eldoret</t>
        </is>
      </c>
      <c r="F1661" s="347" t="inlineStr">
        <is>
          <t>1018</t>
        </is>
      </c>
    </row>
    <row r="1662">
      <c r="D1662" s="346" t="inlineStr">
        <is>
          <t>1521</t>
        </is>
      </c>
      <c r="E1662" s="336" t="inlineStr">
        <is>
          <t>Embu</t>
        </is>
      </c>
      <c r="F1662" s="347" t="inlineStr">
        <is>
          <t>1018</t>
        </is>
      </c>
    </row>
    <row r="1663">
      <c r="D1663" s="346" t="inlineStr">
        <is>
          <t>1519</t>
        </is>
      </c>
      <c r="E1663" s="336" t="inlineStr">
        <is>
          <t>Harambee Avenue</t>
        </is>
      </c>
      <c r="F1663" s="347" t="inlineStr">
        <is>
          <t>1018</t>
        </is>
      </c>
    </row>
    <row r="1664">
      <c r="D1664" s="346" t="inlineStr">
        <is>
          <t>2052</t>
        </is>
      </c>
      <c r="E1664" s="336" t="inlineStr">
        <is>
          <t>Head Office</t>
        </is>
      </c>
      <c r="F1664" s="347" t="inlineStr">
        <is>
          <t>1018</t>
        </is>
      </c>
    </row>
    <row r="1665">
      <c r="D1665" s="346" t="inlineStr">
        <is>
          <t>2051</t>
        </is>
      </c>
      <c r="E1665" s="336" t="inlineStr">
        <is>
          <t>Isiolo</t>
        </is>
      </c>
      <c r="F1665" s="347" t="inlineStr">
        <is>
          <t>1018</t>
        </is>
      </c>
    </row>
    <row r="1666">
      <c r="D1666" s="346" t="inlineStr">
        <is>
          <t>2057</t>
        </is>
      </c>
      <c r="E1666" s="336" t="inlineStr">
        <is>
          <t>Kitengela</t>
        </is>
      </c>
      <c r="F1666" s="347" t="inlineStr">
        <is>
          <t>1018</t>
        </is>
      </c>
    </row>
    <row r="1667">
      <c r="D1667" s="346" t="inlineStr">
        <is>
          <t>1523</t>
        </is>
      </c>
      <c r="E1667" s="336" t="inlineStr">
        <is>
          <t>Koinange Street</t>
        </is>
      </c>
      <c r="F1667" s="347" t="inlineStr">
        <is>
          <t>1018</t>
        </is>
      </c>
    </row>
    <row r="1668">
      <c r="D1668" s="346" t="inlineStr">
        <is>
          <t>2049</t>
        </is>
      </c>
      <c r="E1668" s="336" t="inlineStr">
        <is>
          <t>Laare</t>
        </is>
      </c>
      <c r="F1668" s="347" t="inlineStr">
        <is>
          <t>1018</t>
        </is>
      </c>
    </row>
    <row r="1669">
      <c r="D1669" s="346" t="inlineStr">
        <is>
          <t>2050</t>
        </is>
      </c>
      <c r="E1669" s="336" t="inlineStr">
        <is>
          <t>Maua</t>
        </is>
      </c>
      <c r="F1669" s="347" t="inlineStr">
        <is>
          <t>1018</t>
        </is>
      </c>
    </row>
    <row r="1670">
      <c r="D1670" s="346" t="inlineStr">
        <is>
          <t>1525</t>
        </is>
      </c>
      <c r="E1670" s="336" t="inlineStr">
        <is>
          <t>Meru</t>
        </is>
      </c>
      <c r="F1670" s="347" t="inlineStr">
        <is>
          <t>1018</t>
        </is>
      </c>
    </row>
    <row r="1671">
      <c r="D1671" s="346" t="inlineStr">
        <is>
          <t>1522</t>
        </is>
      </c>
      <c r="E1671" s="336" t="inlineStr">
        <is>
          <t>Mombasa</t>
        </is>
      </c>
      <c r="F1671" s="347" t="inlineStr">
        <is>
          <t>1018</t>
        </is>
      </c>
    </row>
    <row r="1672">
      <c r="D1672" s="346" t="inlineStr">
        <is>
          <t>1520</t>
        </is>
      </c>
      <c r="E1672" s="336" t="inlineStr">
        <is>
          <t>Muranga</t>
        </is>
      </c>
      <c r="F1672" s="347" t="inlineStr">
        <is>
          <t>1018</t>
        </is>
      </c>
    </row>
    <row r="1673">
      <c r="D1673" s="346" t="inlineStr">
        <is>
          <t>2056</t>
        </is>
      </c>
      <c r="E1673" s="336" t="inlineStr">
        <is>
          <t>Nakuru</t>
        </is>
      </c>
      <c r="F1673" s="347" t="inlineStr">
        <is>
          <t>1018</t>
        </is>
      </c>
    </row>
    <row r="1674">
      <c r="D1674" s="346" t="inlineStr">
        <is>
          <t>1526</t>
        </is>
      </c>
      <c r="E1674" s="336" t="inlineStr">
        <is>
          <t>Nyeri</t>
        </is>
      </c>
      <c r="F1674" s="347" t="inlineStr">
        <is>
          <t>1018</t>
        </is>
      </c>
    </row>
    <row r="1675">
      <c r="D1675" s="346" t="inlineStr">
        <is>
          <t>2054</t>
        </is>
      </c>
      <c r="E1675" s="336" t="inlineStr">
        <is>
          <t>River Road</t>
        </is>
      </c>
      <c r="F1675" s="347" t="inlineStr">
        <is>
          <t>1018</t>
        </is>
      </c>
    </row>
    <row r="1676">
      <c r="D1676" s="346" t="inlineStr">
        <is>
          <t>2058</t>
        </is>
      </c>
      <c r="E1676" s="336" t="inlineStr">
        <is>
          <t>Taj Mall</t>
        </is>
      </c>
      <c r="F1676" s="347" t="inlineStr">
        <is>
          <t>1018</t>
        </is>
      </c>
    </row>
    <row r="1677">
      <c r="D1677" s="346" t="inlineStr">
        <is>
          <t>1524</t>
        </is>
      </c>
      <c r="E1677" s="336" t="inlineStr">
        <is>
          <t>Thika</t>
        </is>
      </c>
      <c r="F1677" s="347" t="inlineStr">
        <is>
          <t>1018</t>
        </is>
      </c>
    </row>
    <row r="1678">
      <c r="D1678" s="346" t="inlineStr">
        <is>
          <t>2053</t>
        </is>
      </c>
      <c r="E1678" s="336" t="inlineStr">
        <is>
          <t>Umoja</t>
        </is>
      </c>
      <c r="F1678" s="347" t="inlineStr">
        <is>
          <t>1018</t>
        </is>
      </c>
    </row>
    <row r="1679">
      <c r="D1679" s="337" t="inlineStr">
        <is>
          <t>2066</t>
        </is>
      </c>
      <c r="E1679" s="335" t="inlineStr">
        <is>
          <t>Eldoret</t>
        </is>
      </c>
      <c r="F1679" s="345" t="inlineStr">
        <is>
          <t>1019</t>
        </is>
      </c>
    </row>
    <row r="1680">
      <c r="D1680" s="337" t="inlineStr">
        <is>
          <t>1527</t>
        </is>
      </c>
      <c r="E1680" s="335" t="inlineStr">
        <is>
          <t>Head Office</t>
        </is>
      </c>
      <c r="F1680" s="345" t="inlineStr">
        <is>
          <t>1019</t>
        </is>
      </c>
    </row>
    <row r="1681">
      <c r="D1681" s="337" t="inlineStr">
        <is>
          <t>2064</t>
        </is>
      </c>
      <c r="E1681" s="335" t="inlineStr">
        <is>
          <t>Industrial Area</t>
        </is>
      </c>
      <c r="F1681" s="345" t="inlineStr">
        <is>
          <t>1019</t>
        </is>
      </c>
    </row>
    <row r="1682">
      <c r="D1682" s="337" t="inlineStr">
        <is>
          <t>2062</t>
        </is>
      </c>
      <c r="E1682" s="335" t="inlineStr">
        <is>
          <t>Kisii</t>
        </is>
      </c>
      <c r="F1682" s="345" t="inlineStr">
        <is>
          <t>1019</t>
        </is>
      </c>
    </row>
    <row r="1683">
      <c r="D1683" s="337" t="inlineStr">
        <is>
          <t>2060</t>
        </is>
      </c>
      <c r="E1683" s="335" t="inlineStr">
        <is>
          <t>Kisumu</t>
        </is>
      </c>
      <c r="F1683" s="345" t="inlineStr">
        <is>
          <t>1019</t>
        </is>
      </c>
    </row>
    <row r="1684">
      <c r="D1684" s="337" t="inlineStr">
        <is>
          <t>2059</t>
        </is>
      </c>
      <c r="E1684" s="335" t="inlineStr">
        <is>
          <t>Koinange Street</t>
        </is>
      </c>
      <c r="F1684" s="345" t="inlineStr">
        <is>
          <t>1019</t>
        </is>
      </c>
    </row>
    <row r="1685">
      <c r="D1685" s="337" t="inlineStr">
        <is>
          <t>2061</t>
        </is>
      </c>
      <c r="E1685" s="335" t="inlineStr">
        <is>
          <t>Nakuru</t>
        </is>
      </c>
      <c r="F1685" s="345" t="inlineStr">
        <is>
          <t>1019</t>
        </is>
      </c>
    </row>
    <row r="1686">
      <c r="D1686" s="337" t="inlineStr">
        <is>
          <t>2501</t>
        </is>
      </c>
      <c r="E1686" s="335" t="inlineStr">
        <is>
          <t>Nakuru, Kenyatta Avenue</t>
        </is>
      </c>
      <c r="F1686" s="345" t="inlineStr">
        <is>
          <t>1019</t>
        </is>
      </c>
    </row>
    <row r="1687">
      <c r="D1687" s="337" t="inlineStr">
        <is>
          <t>2063</t>
        </is>
      </c>
      <c r="E1687" s="335" t="inlineStr">
        <is>
          <t>Westlands</t>
        </is>
      </c>
      <c r="F1687" s="345" t="inlineStr">
        <is>
          <t>1019</t>
        </is>
      </c>
    </row>
    <row r="1688">
      <c r="D1688" s="346" t="inlineStr">
        <is>
          <t>1530</t>
        </is>
      </c>
      <c r="E1688" s="336" t="inlineStr">
        <is>
          <t>Eldoret</t>
        </is>
      </c>
      <c r="F1688" s="347" t="inlineStr">
        <is>
          <t>1020</t>
        </is>
      </c>
    </row>
    <row r="1689">
      <c r="D1689" s="346" t="inlineStr">
        <is>
          <t>2074</t>
        </is>
      </c>
      <c r="E1689" s="336" t="inlineStr">
        <is>
          <t>Epz</t>
        </is>
      </c>
      <c r="F1689" s="347" t="inlineStr">
        <is>
          <t>1020</t>
        </is>
      </c>
    </row>
    <row r="1690">
      <c r="D1690" s="346" t="inlineStr">
        <is>
          <t>1528</t>
        </is>
      </c>
      <c r="E1690" s="336" t="inlineStr">
        <is>
          <t>Head Office</t>
        </is>
      </c>
      <c r="F1690" s="347" t="inlineStr">
        <is>
          <t>1020</t>
        </is>
      </c>
    </row>
    <row r="1691">
      <c r="D1691" s="346" t="inlineStr">
        <is>
          <t>2068</t>
        </is>
      </c>
      <c r="E1691" s="336" t="inlineStr">
        <is>
          <t>Jkia</t>
        </is>
      </c>
      <c r="F1691" s="347" t="inlineStr">
        <is>
          <t>1020</t>
        </is>
      </c>
    </row>
    <row r="1692">
      <c r="D1692" s="346" t="inlineStr">
        <is>
          <t>2070</t>
        </is>
      </c>
      <c r="E1692" s="336" t="inlineStr">
        <is>
          <t>Kabarak</t>
        </is>
      </c>
      <c r="F1692" s="347" t="inlineStr">
        <is>
          <t>1020</t>
        </is>
      </c>
    </row>
    <row r="1693">
      <c r="D1693" s="346" t="inlineStr">
        <is>
          <t>2076</t>
        </is>
      </c>
      <c r="E1693" s="336" t="inlineStr">
        <is>
          <t>Kabarnet</t>
        </is>
      </c>
      <c r="F1693" s="347" t="inlineStr">
        <is>
          <t>1020</t>
        </is>
      </c>
    </row>
    <row r="1694">
      <c r="D1694" s="346" t="inlineStr">
        <is>
          <t>2072</t>
        </is>
      </c>
      <c r="E1694" s="336" t="inlineStr">
        <is>
          <t>Kericho</t>
        </is>
      </c>
      <c r="F1694" s="347" t="inlineStr">
        <is>
          <t>1020</t>
        </is>
      </c>
    </row>
    <row r="1695">
      <c r="D1695" s="346" t="inlineStr">
        <is>
          <t>2069</t>
        </is>
      </c>
      <c r="E1695" s="336" t="inlineStr">
        <is>
          <t>Kirinyaga Rd Nakuru</t>
        </is>
      </c>
      <c r="F1695" s="347" t="inlineStr">
        <is>
          <t>1020</t>
        </is>
      </c>
    </row>
    <row r="1696">
      <c r="D1696" s="346" t="inlineStr">
        <is>
          <t>2077</t>
        </is>
      </c>
      <c r="E1696" s="336" t="inlineStr">
        <is>
          <t>Kitale</t>
        </is>
      </c>
      <c r="F1696" s="347" t="inlineStr">
        <is>
          <t>1020</t>
        </is>
      </c>
    </row>
    <row r="1697">
      <c r="D1697" s="346" t="inlineStr">
        <is>
          <t>2067</t>
        </is>
      </c>
      <c r="E1697" s="336" t="inlineStr">
        <is>
          <t>Mia</t>
        </is>
      </c>
      <c r="F1697" s="347" t="inlineStr">
        <is>
          <t>1020</t>
        </is>
      </c>
    </row>
    <row r="1698">
      <c r="D1698" s="346" t="inlineStr">
        <is>
          <t>1529</t>
        </is>
      </c>
      <c r="E1698" s="336" t="inlineStr">
        <is>
          <t>Mombasa</t>
        </is>
      </c>
      <c r="F1698" s="347" t="inlineStr">
        <is>
          <t>1020</t>
        </is>
      </c>
    </row>
    <row r="1699">
      <c r="D1699" s="346" t="inlineStr">
        <is>
          <t>1531</t>
        </is>
      </c>
      <c r="E1699" s="336" t="inlineStr">
        <is>
          <t>Nakuru</t>
        </is>
      </c>
      <c r="F1699" s="347" t="inlineStr">
        <is>
          <t>1020</t>
        </is>
      </c>
    </row>
    <row r="1700">
      <c r="D1700" s="346" t="inlineStr">
        <is>
          <t>2502</t>
        </is>
      </c>
      <c r="E1700" s="336" t="inlineStr">
        <is>
          <t>Nandi Hills</t>
        </is>
      </c>
      <c r="F1700" s="347" t="inlineStr">
        <is>
          <t>1020</t>
        </is>
      </c>
    </row>
    <row r="1701">
      <c r="D1701" s="346" t="inlineStr">
        <is>
          <t>2075</t>
        </is>
      </c>
      <c r="E1701" s="336" t="inlineStr">
        <is>
          <t>Nandi Hills</t>
        </is>
      </c>
      <c r="F1701" s="347" t="inlineStr">
        <is>
          <t>1020</t>
        </is>
      </c>
    </row>
    <row r="1702">
      <c r="D1702" s="346" t="inlineStr">
        <is>
          <t>2078</t>
        </is>
      </c>
      <c r="E1702" s="336" t="inlineStr">
        <is>
          <t>Narok</t>
        </is>
      </c>
      <c r="F1702" s="347" t="inlineStr">
        <is>
          <t>1020</t>
        </is>
      </c>
    </row>
    <row r="1703">
      <c r="D1703" s="346" t="inlineStr">
        <is>
          <t>2071</t>
        </is>
      </c>
      <c r="E1703" s="336" t="inlineStr">
        <is>
          <t>Olenguruone</t>
        </is>
      </c>
      <c r="F1703" s="347" t="inlineStr">
        <is>
          <t>1020</t>
        </is>
      </c>
    </row>
    <row r="1704">
      <c r="D1704" s="337" t="inlineStr">
        <is>
          <t>2087</t>
        </is>
      </c>
      <c r="E1704" s="335" t="inlineStr">
        <is>
          <t>Bondeni Chase Iman</t>
        </is>
      </c>
      <c r="F1704" s="345" t="inlineStr">
        <is>
          <t>1021</t>
        </is>
      </c>
    </row>
    <row r="1705">
      <c r="D1705" s="337" t="inlineStr">
        <is>
          <t>2097</t>
        </is>
      </c>
      <c r="E1705" s="335" t="inlineStr">
        <is>
          <t>Buru Buru</t>
        </is>
      </c>
      <c r="F1705" s="345" t="inlineStr">
        <is>
          <t>1021</t>
        </is>
      </c>
    </row>
    <row r="1706">
      <c r="D1706" s="337" t="inlineStr">
        <is>
          <t>2103</t>
        </is>
      </c>
      <c r="E1706" s="335" t="inlineStr">
        <is>
          <t>Chase Elite ABC Place</t>
        </is>
      </c>
      <c r="F1706" s="345" t="inlineStr">
        <is>
          <t>1021</t>
        </is>
      </c>
    </row>
    <row r="1707">
      <c r="D1707" s="337" t="inlineStr">
        <is>
          <t>2102</t>
        </is>
      </c>
      <c r="E1707" s="335" t="inlineStr">
        <is>
          <t>Chase Xpress - Ngong Road</t>
        </is>
      </c>
      <c r="F1707" s="345" t="inlineStr">
        <is>
          <t>1021</t>
        </is>
      </c>
    </row>
    <row r="1708">
      <c r="D1708" s="337" t="inlineStr">
        <is>
          <t>2478</t>
        </is>
      </c>
      <c r="E1708" s="335" t="inlineStr">
        <is>
          <t>City Centre Branch</t>
        </is>
      </c>
      <c r="F1708" s="345" t="inlineStr">
        <is>
          <t>1021</t>
        </is>
      </c>
    </row>
    <row r="1709">
      <c r="D1709" s="337" t="inlineStr">
        <is>
          <t>2091</t>
        </is>
      </c>
      <c r="E1709" s="335" t="inlineStr">
        <is>
          <t>Diamond Plaza</t>
        </is>
      </c>
      <c r="F1709" s="345" t="inlineStr">
        <is>
          <t>1021</t>
        </is>
      </c>
    </row>
    <row r="1710">
      <c r="D1710" s="337" t="inlineStr">
        <is>
          <t>2086</t>
        </is>
      </c>
      <c r="E1710" s="335" t="inlineStr">
        <is>
          <t>Donholm</t>
        </is>
      </c>
      <c r="F1710" s="345" t="inlineStr">
        <is>
          <t>1021</t>
        </is>
      </c>
    </row>
    <row r="1711">
      <c r="D1711" s="337" t="inlineStr">
        <is>
          <t>2082</t>
        </is>
      </c>
      <c r="E1711" s="335" t="inlineStr">
        <is>
          <t>Eastleigh</t>
        </is>
      </c>
      <c r="F1711" s="345" t="inlineStr">
        <is>
          <t>1021</t>
        </is>
      </c>
    </row>
    <row r="1712">
      <c r="D1712" s="337" t="inlineStr">
        <is>
          <t>2090</t>
        </is>
      </c>
      <c r="E1712" s="335" t="inlineStr">
        <is>
          <t>Eldoret</t>
        </is>
      </c>
      <c r="F1712" s="345" t="inlineStr">
        <is>
          <t>1021</t>
        </is>
      </c>
    </row>
    <row r="1713">
      <c r="D1713" s="337" t="inlineStr">
        <is>
          <t>2094</t>
        </is>
      </c>
      <c r="E1713" s="335" t="inlineStr">
        <is>
          <t>Embakasi</t>
        </is>
      </c>
      <c r="F1713" s="345" t="inlineStr">
        <is>
          <t>1021</t>
        </is>
      </c>
    </row>
    <row r="1714">
      <c r="D1714" s="337" t="inlineStr">
        <is>
          <t>1532</t>
        </is>
      </c>
      <c r="E1714" s="335" t="inlineStr">
        <is>
          <t>Head Office</t>
        </is>
      </c>
      <c r="F1714" s="345" t="inlineStr">
        <is>
          <t>1021</t>
        </is>
      </c>
    </row>
    <row r="1715">
      <c r="D1715" s="337" t="inlineStr">
        <is>
          <t>2081</t>
        </is>
      </c>
      <c r="E1715" s="335" t="inlineStr">
        <is>
          <t>Hurlingham</t>
        </is>
      </c>
      <c r="F1715" s="345" t="inlineStr">
        <is>
          <t>1021</t>
        </is>
      </c>
    </row>
    <row r="1716">
      <c r="D1716" s="337" t="inlineStr">
        <is>
          <t>2099</t>
        </is>
      </c>
      <c r="E1716" s="335" t="inlineStr">
        <is>
          <t>Kisii</t>
        </is>
      </c>
      <c r="F1716" s="345" t="inlineStr">
        <is>
          <t>1021</t>
        </is>
      </c>
    </row>
    <row r="1717">
      <c r="D1717" s="337" t="inlineStr">
        <is>
          <t>2089</t>
        </is>
      </c>
      <c r="E1717" s="335" t="inlineStr">
        <is>
          <t>Kisumu</t>
        </is>
      </c>
      <c r="F1717" s="345" t="inlineStr">
        <is>
          <t>1021</t>
        </is>
      </c>
    </row>
    <row r="1718">
      <c r="D1718" s="337" t="inlineStr">
        <is>
          <t>2093</t>
        </is>
      </c>
      <c r="E1718" s="335" t="inlineStr">
        <is>
          <t>Malindi</t>
        </is>
      </c>
      <c r="F1718" s="345" t="inlineStr">
        <is>
          <t>1021</t>
        </is>
      </c>
    </row>
    <row r="1719">
      <c r="D1719" s="337" t="inlineStr">
        <is>
          <t>2080</t>
        </is>
      </c>
      <c r="E1719" s="335" t="inlineStr">
        <is>
          <t>Mombasa Moi Avenue</t>
        </is>
      </c>
      <c r="F1719" s="345" t="inlineStr">
        <is>
          <t>1021</t>
        </is>
      </c>
    </row>
    <row r="1720">
      <c r="D1720" s="337" t="inlineStr">
        <is>
          <t>2105</t>
        </is>
      </c>
      <c r="E1720" s="335" t="inlineStr">
        <is>
          <t>Mtwapa</t>
        </is>
      </c>
      <c r="F1720" s="345" t="inlineStr">
        <is>
          <t>1021</t>
        </is>
      </c>
    </row>
    <row r="1721">
      <c r="D1721" s="337" t="inlineStr">
        <is>
          <t>2085</t>
        </is>
      </c>
      <c r="E1721" s="335" t="inlineStr">
        <is>
          <t>Nakuru</t>
        </is>
      </c>
      <c r="F1721" s="345" t="inlineStr">
        <is>
          <t>1021</t>
        </is>
      </c>
    </row>
    <row r="1722">
      <c r="D1722" s="337" t="inlineStr">
        <is>
          <t>2088</t>
        </is>
      </c>
      <c r="E1722" s="335" t="inlineStr">
        <is>
          <t>Ngara Mini</t>
        </is>
      </c>
      <c r="F1722" s="345" t="inlineStr">
        <is>
          <t>1021</t>
        </is>
      </c>
    </row>
    <row r="1723">
      <c r="D1723" s="337" t="inlineStr">
        <is>
          <t>2096</t>
        </is>
      </c>
      <c r="E1723" s="335" t="inlineStr">
        <is>
          <t>Nyali</t>
        </is>
      </c>
      <c r="F1723" s="345" t="inlineStr">
        <is>
          <t>1021</t>
        </is>
      </c>
    </row>
    <row r="1724">
      <c r="D1724" s="337" t="inlineStr">
        <is>
          <t>2479</t>
        </is>
      </c>
      <c r="E1724" s="335" t="inlineStr">
        <is>
          <t>Parklands</t>
        </is>
      </c>
      <c r="F1724" s="345" t="inlineStr">
        <is>
          <t>1021</t>
        </is>
      </c>
    </row>
    <row r="1725">
      <c r="D1725" s="337" t="inlineStr">
        <is>
          <t>2101</t>
        </is>
      </c>
      <c r="E1725" s="335" t="inlineStr">
        <is>
          <t>Rafiki DTM Clearing Center</t>
        </is>
      </c>
      <c r="F1725" s="345" t="inlineStr">
        <is>
          <t>1021</t>
        </is>
      </c>
    </row>
    <row r="1726">
      <c r="D1726" s="337" t="inlineStr">
        <is>
          <t>2083</t>
        </is>
      </c>
      <c r="E1726" s="335" t="inlineStr">
        <is>
          <t>Riverside Mews</t>
        </is>
      </c>
      <c r="F1726" s="345" t="inlineStr">
        <is>
          <t>1021</t>
        </is>
      </c>
    </row>
    <row r="1727">
      <c r="D1727" s="337" t="inlineStr">
        <is>
          <t>2104</t>
        </is>
      </c>
      <c r="E1727" s="335" t="inlineStr">
        <is>
          <t>Sameer Business Park</t>
        </is>
      </c>
      <c r="F1727" s="345" t="inlineStr">
        <is>
          <t>1021</t>
        </is>
      </c>
    </row>
    <row r="1728">
      <c r="D1728" s="337" t="inlineStr">
        <is>
          <t>2098</t>
        </is>
      </c>
      <c r="E1728" s="335" t="inlineStr">
        <is>
          <t>Strathmore</t>
        </is>
      </c>
      <c r="F1728" s="345" t="inlineStr">
        <is>
          <t>1021</t>
        </is>
      </c>
    </row>
    <row r="1729">
      <c r="D1729" s="337" t="inlineStr">
        <is>
          <t>2084</t>
        </is>
      </c>
      <c r="E1729" s="335" t="inlineStr">
        <is>
          <t>Thika</t>
        </is>
      </c>
      <c r="F1729" s="345" t="inlineStr">
        <is>
          <t>1021</t>
        </is>
      </c>
    </row>
    <row r="1730">
      <c r="D1730" s="337" t="inlineStr">
        <is>
          <t>2095</t>
        </is>
      </c>
      <c r="E1730" s="335" t="inlineStr">
        <is>
          <t>Upper Hill</t>
        </is>
      </c>
      <c r="F1730" s="345" t="inlineStr">
        <is>
          <t>1021</t>
        </is>
      </c>
    </row>
    <row r="1731">
      <c r="D1731" s="337" t="inlineStr">
        <is>
          <t>2079</t>
        </is>
      </c>
      <c r="E1731" s="335" t="inlineStr">
        <is>
          <t>Village Market</t>
        </is>
      </c>
      <c r="F1731" s="345" t="inlineStr">
        <is>
          <t>1021</t>
        </is>
      </c>
    </row>
    <row r="1732">
      <c r="D1732" s="337" t="inlineStr">
        <is>
          <t>2100</t>
        </is>
      </c>
      <c r="E1732" s="335" t="inlineStr">
        <is>
          <t>Virtual</t>
        </is>
      </c>
      <c r="F1732" s="345" t="inlineStr">
        <is>
          <t>1021</t>
        </is>
      </c>
    </row>
    <row r="1733">
      <c r="D1733" s="337" t="inlineStr">
        <is>
          <t>2092</t>
        </is>
      </c>
      <c r="E1733" s="335" t="inlineStr">
        <is>
          <t>Windsor</t>
        </is>
      </c>
      <c r="F1733" s="345" t="inlineStr">
        <is>
          <t>1021</t>
        </is>
      </c>
    </row>
    <row r="1734">
      <c r="D1734" s="346" t="inlineStr">
        <is>
          <t>1554</t>
        </is>
      </c>
      <c r="E1734" s="336" t="inlineStr">
        <is>
          <t>Buruburu</t>
        </is>
      </c>
      <c r="F1734" s="347" t="inlineStr">
        <is>
          <t>1023</t>
        </is>
      </c>
    </row>
    <row r="1735">
      <c r="D1735" s="346" t="inlineStr">
        <is>
          <t>2107</t>
        </is>
      </c>
      <c r="E1735" s="336" t="inlineStr">
        <is>
          <t>Central Processing H/o</t>
        </is>
      </c>
      <c r="F1735" s="347" t="inlineStr">
        <is>
          <t>1023</t>
        </is>
      </c>
    </row>
    <row r="1736">
      <c r="D1736" s="346" t="inlineStr">
        <is>
          <t>1904</t>
        </is>
      </c>
      <c r="E1736" s="336" t="inlineStr">
        <is>
          <t>CFC Stanbic Head Office</t>
        </is>
      </c>
      <c r="F1736" s="347" t="inlineStr">
        <is>
          <t>1023</t>
        </is>
      </c>
    </row>
    <row r="1737">
      <c r="D1737" s="346" t="inlineStr">
        <is>
          <t>1544</t>
        </is>
      </c>
      <c r="E1737" s="336" t="inlineStr">
        <is>
          <t>Chiromo Road</t>
        </is>
      </c>
      <c r="F1737" s="347" t="inlineStr">
        <is>
          <t>1023</t>
        </is>
      </c>
    </row>
    <row r="1738">
      <c r="D1738" s="346" t="inlineStr">
        <is>
          <t>1540</t>
        </is>
      </c>
      <c r="E1738" s="336" t="inlineStr">
        <is>
          <t>Digo road</t>
        </is>
      </c>
      <c r="F1738" s="347" t="inlineStr">
        <is>
          <t>1023</t>
        </is>
      </c>
    </row>
    <row r="1739">
      <c r="D1739" s="346" t="inlineStr">
        <is>
          <t>1557</t>
        </is>
      </c>
      <c r="E1739" s="336" t="inlineStr">
        <is>
          <t>ELDORET</t>
        </is>
      </c>
      <c r="F1739" s="347" t="inlineStr">
        <is>
          <t>1023</t>
        </is>
      </c>
    </row>
    <row r="1740">
      <c r="D1740" s="346" t="inlineStr">
        <is>
          <t>1555</t>
        </is>
      </c>
      <c r="E1740" s="336" t="inlineStr">
        <is>
          <t>Gikomba</t>
        </is>
      </c>
      <c r="F1740" s="347" t="inlineStr">
        <is>
          <t>1023</t>
        </is>
      </c>
    </row>
    <row r="1741">
      <c r="D1741" s="346" t="inlineStr">
        <is>
          <t>1543</t>
        </is>
      </c>
      <c r="E1741" s="336" t="inlineStr">
        <is>
          <t>Harambee Avenue</t>
        </is>
      </c>
      <c r="F1741" s="347" t="inlineStr">
        <is>
          <t>1023</t>
        </is>
      </c>
    </row>
    <row r="1742">
      <c r="D1742" s="346" t="inlineStr">
        <is>
          <t>2382</t>
        </is>
      </c>
      <c r="E1742" s="336" t="inlineStr">
        <is>
          <t>Industrial Area</t>
        </is>
      </c>
      <c r="F1742" s="347" t="inlineStr">
        <is>
          <t>1023</t>
        </is>
      </c>
    </row>
    <row r="1743">
      <c r="D1743" s="346" t="inlineStr">
        <is>
          <t>1545</t>
        </is>
      </c>
      <c r="E1743" s="336" t="inlineStr">
        <is>
          <t>International House</t>
        </is>
      </c>
      <c r="F1743" s="347" t="inlineStr">
        <is>
          <t>1023</t>
        </is>
      </c>
    </row>
    <row r="1744">
      <c r="D1744" s="346" t="inlineStr">
        <is>
          <t>1558</t>
        </is>
      </c>
      <c r="E1744" s="336" t="inlineStr">
        <is>
          <t>KAREN</t>
        </is>
      </c>
      <c r="F1744" s="347" t="inlineStr">
        <is>
          <t>1023</t>
        </is>
      </c>
    </row>
    <row r="1745">
      <c r="D1745" s="346" t="inlineStr">
        <is>
          <t>1539</t>
        </is>
      </c>
      <c r="E1745" s="336" t="inlineStr">
        <is>
          <t>Kenyatta Ave</t>
        </is>
      </c>
      <c r="F1745" s="347" t="inlineStr">
        <is>
          <t>1023</t>
        </is>
      </c>
    </row>
    <row r="1746">
      <c r="D1746" s="346" t="inlineStr">
        <is>
          <t>1559</t>
        </is>
      </c>
      <c r="E1746" s="336" t="inlineStr">
        <is>
          <t>Kisii</t>
        </is>
      </c>
      <c r="F1746" s="347" t="inlineStr">
        <is>
          <t>1023</t>
        </is>
      </c>
    </row>
    <row r="1747">
      <c r="D1747" s="346" t="inlineStr">
        <is>
          <t>1549</t>
        </is>
      </c>
      <c r="E1747" s="336" t="inlineStr">
        <is>
          <t>Kisumu</t>
        </is>
      </c>
      <c r="F1747" s="347" t="inlineStr">
        <is>
          <t>1023</t>
        </is>
      </c>
    </row>
    <row r="1748">
      <c r="D1748" s="346" t="inlineStr">
        <is>
          <t>1553</t>
        </is>
      </c>
      <c r="E1748" s="336" t="inlineStr">
        <is>
          <t>Meru</t>
        </is>
      </c>
      <c r="F1748" s="347" t="inlineStr">
        <is>
          <t>1023</t>
        </is>
      </c>
    </row>
    <row r="1749">
      <c r="D1749" s="346" t="inlineStr">
        <is>
          <t>1547</t>
        </is>
      </c>
      <c r="E1749" s="336" t="inlineStr">
        <is>
          <t>Naivasha</t>
        </is>
      </c>
      <c r="F1749" s="347" t="inlineStr">
        <is>
          <t>1023</t>
        </is>
      </c>
    </row>
    <row r="1750">
      <c r="D1750" s="346" t="inlineStr">
        <is>
          <t>1550</t>
        </is>
      </c>
      <c r="E1750" s="336" t="inlineStr">
        <is>
          <t>Nakuru</t>
        </is>
      </c>
      <c r="F1750" s="347" t="inlineStr">
        <is>
          <t>1023</t>
        </is>
      </c>
    </row>
    <row r="1751">
      <c r="D1751" s="346" t="inlineStr">
        <is>
          <t>1552</t>
        </is>
      </c>
      <c r="E1751" s="336" t="inlineStr">
        <is>
          <t>Nanyuki</t>
        </is>
      </c>
      <c r="F1751" s="347" t="inlineStr">
        <is>
          <t>1023</t>
        </is>
      </c>
    </row>
    <row r="1752">
      <c r="D1752" s="346" t="inlineStr">
        <is>
          <t>2106</t>
        </is>
      </c>
      <c r="E1752" s="336" t="inlineStr">
        <is>
          <t>Private Clients</t>
        </is>
      </c>
      <c r="F1752" s="347" t="inlineStr">
        <is>
          <t>1023</t>
        </is>
      </c>
    </row>
    <row r="1753">
      <c r="D1753" s="346" t="inlineStr">
        <is>
          <t>1556</t>
        </is>
      </c>
      <c r="E1753" s="336" t="inlineStr">
        <is>
          <t>Ruaraka</t>
        </is>
      </c>
      <c r="F1753" s="347" t="inlineStr">
        <is>
          <t>1023</t>
        </is>
      </c>
    </row>
    <row r="1754">
      <c r="D1754" s="346" t="inlineStr">
        <is>
          <t>1551</t>
        </is>
      </c>
      <c r="E1754" s="336" t="inlineStr">
        <is>
          <t>Thika</t>
        </is>
      </c>
      <c r="F1754" s="347" t="inlineStr">
        <is>
          <t>1023</t>
        </is>
      </c>
    </row>
    <row r="1755">
      <c r="D1755" s="346" t="inlineStr">
        <is>
          <t>1546</t>
        </is>
      </c>
      <c r="E1755" s="336" t="inlineStr">
        <is>
          <t>Upper Hill</t>
        </is>
      </c>
      <c r="F1755" s="347" t="inlineStr">
        <is>
          <t>1023</t>
        </is>
      </c>
    </row>
    <row r="1756">
      <c r="D1756" s="346" t="inlineStr">
        <is>
          <t>2381</t>
        </is>
      </c>
      <c r="E1756" s="336" t="inlineStr">
        <is>
          <t>Waiyaki Way</t>
        </is>
      </c>
      <c r="F1756" s="347" t="inlineStr">
        <is>
          <t>1023</t>
        </is>
      </c>
    </row>
    <row r="1757">
      <c r="D1757" s="346" t="inlineStr">
        <is>
          <t>1560</t>
        </is>
      </c>
      <c r="E1757" s="336" t="inlineStr">
        <is>
          <t>Warwick</t>
        </is>
      </c>
      <c r="F1757" s="347" t="inlineStr">
        <is>
          <t>1023</t>
        </is>
      </c>
    </row>
    <row r="1758">
      <c r="D1758" s="346" t="inlineStr">
        <is>
          <t>1548</t>
        </is>
      </c>
      <c r="E1758" s="336" t="inlineStr">
        <is>
          <t>Wesgate</t>
        </is>
      </c>
      <c r="F1758" s="347" t="inlineStr">
        <is>
          <t>1023</t>
        </is>
      </c>
    </row>
    <row r="1759">
      <c r="D1759" s="337" t="inlineStr">
        <is>
          <t>1566</t>
        </is>
      </c>
      <c r="E1759" s="335" t="inlineStr">
        <is>
          <t>Eldoret Branch</t>
        </is>
      </c>
      <c r="F1759" s="345" t="inlineStr">
        <is>
          <t>1024</t>
        </is>
      </c>
    </row>
    <row r="1760">
      <c r="D1760" s="337" t="inlineStr">
        <is>
          <t>1561</t>
        </is>
      </c>
      <c r="E1760" s="335" t="inlineStr">
        <is>
          <t>Head Office/koinange St.</t>
        </is>
      </c>
      <c r="F1760" s="345" t="inlineStr">
        <is>
          <t>1024</t>
        </is>
      </c>
    </row>
    <row r="1761">
      <c r="D1761" s="337" t="inlineStr">
        <is>
          <t>1563</t>
        </is>
      </c>
      <c r="E1761" s="335" t="inlineStr">
        <is>
          <t>Industrial Area Branch</t>
        </is>
      </c>
      <c r="F1761" s="345" t="inlineStr">
        <is>
          <t>1024</t>
        </is>
      </c>
    </row>
    <row r="1762">
      <c r="D1762" s="337" t="inlineStr">
        <is>
          <t>1565</t>
        </is>
      </c>
      <c r="E1762" s="335" t="inlineStr">
        <is>
          <t>Kisumu Branch</t>
        </is>
      </c>
      <c r="F1762" s="345" t="inlineStr">
        <is>
          <t>1024</t>
        </is>
      </c>
    </row>
    <row r="1763">
      <c r="D1763" s="337" t="inlineStr">
        <is>
          <t>2108</t>
        </is>
      </c>
      <c r="E1763" s="335" t="inlineStr">
        <is>
          <t>Lamu</t>
        </is>
      </c>
      <c r="F1763" s="345" t="inlineStr">
        <is>
          <t>1024</t>
        </is>
      </c>
    </row>
    <row r="1764">
      <c r="D1764" s="337" t="inlineStr">
        <is>
          <t>1568</t>
        </is>
      </c>
      <c r="E1764" s="335" t="inlineStr">
        <is>
          <t>Libra House</t>
        </is>
      </c>
      <c r="F1764" s="345" t="inlineStr">
        <is>
          <t>1024</t>
        </is>
      </c>
    </row>
    <row r="1765">
      <c r="D1765" s="337" t="inlineStr">
        <is>
          <t>1567</t>
        </is>
      </c>
      <c r="E1765" s="335" t="inlineStr">
        <is>
          <t>Meru Branch</t>
        </is>
      </c>
      <c r="F1765" s="345" t="inlineStr">
        <is>
          <t>1024</t>
        </is>
      </c>
    </row>
    <row r="1766">
      <c r="D1766" s="337" t="inlineStr">
        <is>
          <t>1569</t>
        </is>
      </c>
      <c r="E1766" s="335" t="inlineStr">
        <is>
          <t>Nakuru</t>
        </is>
      </c>
      <c r="F1766" s="345" t="inlineStr">
        <is>
          <t>1024</t>
        </is>
      </c>
    </row>
    <row r="1767">
      <c r="D1767" s="337" t="inlineStr">
        <is>
          <t>1564</t>
        </is>
      </c>
      <c r="E1767" s="335" t="inlineStr">
        <is>
          <t>Nkrumah Road Branch/mombasa</t>
        </is>
      </c>
      <c r="F1767" s="345" t="inlineStr">
        <is>
          <t>1024</t>
        </is>
      </c>
    </row>
    <row r="1768">
      <c r="D1768" s="337" t="inlineStr">
        <is>
          <t>1562</t>
        </is>
      </c>
      <c r="E1768" s="335" t="inlineStr">
        <is>
          <t>Westlands</t>
        </is>
      </c>
      <c r="F1768" s="345" t="inlineStr">
        <is>
          <t>1024</t>
        </is>
      </c>
    </row>
    <row r="1769">
      <c r="D1769" s="346" t="inlineStr">
        <is>
          <t>2123</t>
        </is>
      </c>
      <c r="E1769" s="336" t="inlineStr">
        <is>
          <t>Bamburi</t>
        </is>
      </c>
      <c r="F1769" s="347" t="inlineStr">
        <is>
          <t>1025</t>
        </is>
      </c>
    </row>
    <row r="1770">
      <c r="D1770" s="346" t="inlineStr">
        <is>
          <t>2118</t>
        </is>
      </c>
      <c r="E1770" s="336" t="inlineStr">
        <is>
          <t>Changamwe</t>
        </is>
      </c>
      <c r="F1770" s="347" t="inlineStr">
        <is>
          <t>1025</t>
        </is>
      </c>
    </row>
    <row r="1771">
      <c r="D1771" s="346" t="inlineStr">
        <is>
          <t>1571</t>
        </is>
      </c>
      <c r="E1771" s="336" t="inlineStr">
        <is>
          <t>Diani</t>
        </is>
      </c>
      <c r="F1771" s="347" t="inlineStr">
        <is>
          <t>1025</t>
        </is>
      </c>
    </row>
    <row r="1772">
      <c r="D1772" s="346" t="inlineStr">
        <is>
          <t>1573</t>
        </is>
      </c>
      <c r="E1772" s="336" t="inlineStr">
        <is>
          <t>Eldoret</t>
        </is>
      </c>
      <c r="F1772" s="347" t="inlineStr">
        <is>
          <t>1025</t>
        </is>
      </c>
    </row>
    <row r="1773">
      <c r="D1773" s="346" t="inlineStr">
        <is>
          <t>2125</t>
        </is>
      </c>
      <c r="E1773" s="336" t="inlineStr">
        <is>
          <t>Greenspan mall</t>
        </is>
      </c>
      <c r="F1773" s="347" t="inlineStr">
        <is>
          <t>1025</t>
        </is>
      </c>
    </row>
    <row r="1774">
      <c r="D1774" s="346" t="inlineStr">
        <is>
          <t>2121</t>
        </is>
      </c>
      <c r="E1774" s="336" t="inlineStr">
        <is>
          <t>HAILE SELASSIE ROAD</t>
        </is>
      </c>
      <c r="F1774" s="347" t="inlineStr">
        <is>
          <t>1025</t>
        </is>
      </c>
    </row>
    <row r="1775">
      <c r="D1775" s="346" t="inlineStr">
        <is>
          <t>2114</t>
        </is>
      </c>
      <c r="E1775" s="336" t="inlineStr">
        <is>
          <t>Industrial Area</t>
        </is>
      </c>
      <c r="F1775" s="347" t="inlineStr">
        <is>
          <t>1025</t>
        </is>
      </c>
    </row>
    <row r="1776">
      <c r="D1776" s="346" t="inlineStr">
        <is>
          <t>2109</t>
        </is>
      </c>
      <c r="E1776" s="336" t="inlineStr">
        <is>
          <t>IPS</t>
        </is>
      </c>
      <c r="F1776" s="347" t="inlineStr">
        <is>
          <t>1025</t>
        </is>
      </c>
    </row>
    <row r="1777">
      <c r="D1777" s="346" t="inlineStr">
        <is>
          <t>2124</t>
        </is>
      </c>
      <c r="E1777" s="336" t="inlineStr">
        <is>
          <t>Junction Mall</t>
        </is>
      </c>
      <c r="F1777" s="347" t="inlineStr">
        <is>
          <t>1025</t>
        </is>
      </c>
    </row>
    <row r="1778">
      <c r="D1778" s="346" t="inlineStr">
        <is>
          <t>2116</t>
        </is>
      </c>
      <c r="E1778" s="336" t="inlineStr">
        <is>
          <t>Karen</t>
        </is>
      </c>
      <c r="F1778" s="347" t="inlineStr">
        <is>
          <t>1025</t>
        </is>
      </c>
    </row>
    <row r="1779">
      <c r="D1779" s="346" t="inlineStr">
        <is>
          <t>2127</t>
        </is>
      </c>
      <c r="E1779" s="336" t="inlineStr">
        <is>
          <t>Kenyatta Street Eldoret</t>
        </is>
      </c>
      <c r="F1779" s="347" t="inlineStr">
        <is>
          <t>1025</t>
        </is>
      </c>
    </row>
    <row r="1780">
      <c r="D1780" s="346" t="inlineStr">
        <is>
          <t>1572</t>
        </is>
      </c>
      <c r="E1780" s="336" t="inlineStr">
        <is>
          <t>Kilifi</t>
        </is>
      </c>
      <c r="F1780" s="347" t="inlineStr">
        <is>
          <t>1025</t>
        </is>
      </c>
    </row>
    <row r="1781">
      <c r="D1781" s="346" t="inlineStr">
        <is>
          <t>2120</t>
        </is>
      </c>
      <c r="E1781" s="336" t="inlineStr">
        <is>
          <t>Likoni</t>
        </is>
      </c>
      <c r="F1781" s="347" t="inlineStr">
        <is>
          <t>1025</t>
        </is>
      </c>
    </row>
    <row r="1782">
      <c r="D1782" s="346" t="inlineStr">
        <is>
          <t>2113</t>
        </is>
      </c>
      <c r="E1782" s="336" t="inlineStr">
        <is>
          <t>Malindi</t>
        </is>
      </c>
      <c r="F1782" s="347" t="inlineStr">
        <is>
          <t>1025</t>
        </is>
      </c>
    </row>
    <row r="1783">
      <c r="D1783" s="346" t="inlineStr">
        <is>
          <t>2110</t>
        </is>
      </c>
      <c r="E1783" s="336" t="inlineStr">
        <is>
          <t>Mombasa</t>
        </is>
      </c>
      <c r="F1783" s="347" t="inlineStr">
        <is>
          <t>1025</t>
        </is>
      </c>
    </row>
    <row r="1784">
      <c r="D1784" s="346" t="inlineStr">
        <is>
          <t>2112</t>
        </is>
      </c>
      <c r="E1784" s="336" t="inlineStr">
        <is>
          <t>Parklands</t>
        </is>
      </c>
      <c r="F1784" s="347" t="inlineStr">
        <is>
          <t>1025</t>
        </is>
      </c>
    </row>
    <row r="1785">
      <c r="D1785" s="346" t="inlineStr">
        <is>
          <t>2119</t>
        </is>
      </c>
      <c r="E1785" s="336" t="inlineStr">
        <is>
          <t>Riverside</t>
        </is>
      </c>
      <c r="F1785" s="347" t="inlineStr">
        <is>
          <t>1025</t>
        </is>
      </c>
    </row>
    <row r="1786">
      <c r="D1786" s="346" t="inlineStr">
        <is>
          <t>2117</t>
        </is>
      </c>
      <c r="E1786" s="336" t="inlineStr">
        <is>
          <t>Thika</t>
        </is>
      </c>
      <c r="F1786" s="347" t="inlineStr">
        <is>
          <t>1025</t>
        </is>
      </c>
    </row>
    <row r="1787">
      <c r="D1787" s="346" t="inlineStr">
        <is>
          <t>2111</t>
        </is>
      </c>
      <c r="E1787" s="336" t="inlineStr">
        <is>
          <t>Upper Hill</t>
        </is>
      </c>
      <c r="F1787" s="347" t="inlineStr">
        <is>
          <t>1025</t>
        </is>
      </c>
    </row>
    <row r="1788">
      <c r="D1788" s="346" t="inlineStr">
        <is>
          <t>2122</t>
        </is>
      </c>
      <c r="E1788" s="336" t="inlineStr">
        <is>
          <t>Village Market</t>
        </is>
      </c>
      <c r="F1788" s="347" t="inlineStr">
        <is>
          <t>1025</t>
        </is>
      </c>
    </row>
    <row r="1789">
      <c r="D1789" s="346" t="inlineStr">
        <is>
          <t>2115</t>
        </is>
      </c>
      <c r="E1789" s="336" t="inlineStr">
        <is>
          <t>Watamu</t>
        </is>
      </c>
      <c r="F1789" s="347" t="inlineStr">
        <is>
          <t>1025</t>
        </is>
      </c>
    </row>
    <row r="1790">
      <c r="D1790" s="346" t="inlineStr">
        <is>
          <t>2128</t>
        </is>
      </c>
      <c r="E1790" s="336" t="inlineStr">
        <is>
          <t>Westlands</t>
        </is>
      </c>
      <c r="F1790" s="347" t="inlineStr">
        <is>
          <t>1025</t>
        </is>
      </c>
    </row>
    <row r="1791">
      <c r="D1791" s="346" t="inlineStr">
        <is>
          <t>2126</t>
        </is>
      </c>
      <c r="E1791" s="336" t="inlineStr">
        <is>
          <t>Westside Mall</t>
        </is>
      </c>
      <c r="F1791" s="347" t="inlineStr">
        <is>
          <t>1025</t>
        </is>
      </c>
    </row>
    <row r="1792">
      <c r="D1792" s="337" t="inlineStr">
        <is>
          <t>2140</t>
        </is>
      </c>
      <c r="E1792" s="335" t="inlineStr">
        <is>
          <t>ABC</t>
        </is>
      </c>
      <c r="F1792" s="345" t="inlineStr">
        <is>
          <t>1026</t>
        </is>
      </c>
    </row>
    <row r="1793">
      <c r="D1793" s="337" t="inlineStr">
        <is>
          <t>2507</t>
        </is>
      </c>
      <c r="E1793" s="335" t="inlineStr">
        <is>
          <t>Changamwe</t>
        </is>
      </c>
      <c r="F1793" s="345" t="inlineStr">
        <is>
          <t>1026</t>
        </is>
      </c>
    </row>
    <row r="1794">
      <c r="D1794" s="337" t="inlineStr">
        <is>
          <t>1576</t>
        </is>
      </c>
      <c r="E1794" s="335" t="inlineStr">
        <is>
          <t>City Centre</t>
        </is>
      </c>
      <c r="F1794" s="345" t="inlineStr">
        <is>
          <t>1026</t>
        </is>
      </c>
    </row>
    <row r="1795">
      <c r="D1795" s="337" t="inlineStr">
        <is>
          <t>2135</t>
        </is>
      </c>
      <c r="E1795" s="335" t="inlineStr">
        <is>
          <t>ELDORET</t>
        </is>
      </c>
      <c r="F1795" s="345" t="inlineStr">
        <is>
          <t>1026</t>
        </is>
      </c>
    </row>
    <row r="1796">
      <c r="D1796" s="337" t="inlineStr">
        <is>
          <t>2134</t>
        </is>
      </c>
      <c r="E1796" s="335" t="inlineStr">
        <is>
          <t>Galleria (bomas</t>
        </is>
      </c>
      <c r="F1796" s="345" t="inlineStr">
        <is>
          <t>1026</t>
        </is>
      </c>
    </row>
    <row r="1797">
      <c r="D1797" s="337" t="inlineStr">
        <is>
          <t>1583</t>
        </is>
      </c>
      <c r="E1797" s="335" t="inlineStr">
        <is>
          <t>Harambee</t>
        </is>
      </c>
      <c r="F1797" s="345" t="inlineStr">
        <is>
          <t>1026</t>
        </is>
      </c>
    </row>
    <row r="1798">
      <c r="D1798" s="337" t="inlineStr">
        <is>
          <t>1578</t>
        </is>
      </c>
      <c r="E1798" s="335" t="inlineStr">
        <is>
          <t>Harbour House</t>
        </is>
      </c>
      <c r="F1798" s="345" t="inlineStr">
        <is>
          <t>1026</t>
        </is>
      </c>
    </row>
    <row r="1799">
      <c r="D1799" s="337" t="inlineStr">
        <is>
          <t>1574</t>
        </is>
      </c>
      <c r="E1799" s="335" t="inlineStr">
        <is>
          <t>Head Office</t>
        </is>
      </c>
      <c r="F1799" s="345" t="inlineStr">
        <is>
          <t>1026</t>
        </is>
      </c>
    </row>
    <row r="1800">
      <c r="D1800" s="337" t="inlineStr">
        <is>
          <t>2129</t>
        </is>
      </c>
      <c r="E1800" s="335" t="inlineStr">
        <is>
          <t>Head Office-Fargo</t>
        </is>
      </c>
      <c r="F1800" s="345" t="inlineStr">
        <is>
          <t>1026</t>
        </is>
      </c>
    </row>
    <row r="1801">
      <c r="D1801" s="337" t="inlineStr">
        <is>
          <t>2138</t>
        </is>
      </c>
      <c r="E1801" s="335" t="inlineStr">
        <is>
          <t>Karen</t>
        </is>
      </c>
      <c r="F1801" s="345" t="inlineStr">
        <is>
          <t>1026</t>
        </is>
      </c>
    </row>
    <row r="1802">
      <c r="D1802" s="337" t="inlineStr">
        <is>
          <t>2508</t>
        </is>
      </c>
      <c r="E1802" s="335" t="inlineStr">
        <is>
          <t>Kenyatta Avenue</t>
        </is>
      </c>
      <c r="F1802" s="345" t="inlineStr">
        <is>
          <t>1026</t>
        </is>
      </c>
    </row>
    <row r="1803">
      <c r="D1803" s="337" t="inlineStr">
        <is>
          <t>2131</t>
        </is>
      </c>
      <c r="E1803" s="335" t="inlineStr">
        <is>
          <t>Kisumu</t>
        </is>
      </c>
      <c r="F1803" s="345" t="inlineStr">
        <is>
          <t>1026</t>
        </is>
      </c>
    </row>
    <row r="1804">
      <c r="D1804" s="337" t="inlineStr">
        <is>
          <t>2133</t>
        </is>
      </c>
      <c r="E1804" s="335" t="inlineStr">
        <is>
          <t>Meru</t>
        </is>
      </c>
      <c r="F1804" s="345" t="inlineStr">
        <is>
          <t>1026</t>
        </is>
      </c>
    </row>
    <row r="1805">
      <c r="D1805" s="337" t="inlineStr">
        <is>
          <t>1580</t>
        </is>
      </c>
      <c r="E1805" s="335" t="inlineStr">
        <is>
          <t>Nakuru</t>
        </is>
      </c>
      <c r="F1805" s="345" t="inlineStr">
        <is>
          <t>1026</t>
        </is>
      </c>
    </row>
    <row r="1806">
      <c r="D1806" s="337" t="inlineStr">
        <is>
          <t>1577</t>
        </is>
      </c>
      <c r="E1806" s="335" t="inlineStr">
        <is>
          <t>NIC House</t>
        </is>
      </c>
      <c r="F1806" s="345" t="inlineStr">
        <is>
          <t>1026</t>
        </is>
      </c>
    </row>
    <row r="1807">
      <c r="D1807" s="337" t="inlineStr">
        <is>
          <t>1582</t>
        </is>
      </c>
      <c r="E1807" s="335" t="inlineStr">
        <is>
          <t>Nkrumah Road</t>
        </is>
      </c>
      <c r="F1807" s="345" t="inlineStr">
        <is>
          <t>1026</t>
        </is>
      </c>
    </row>
    <row r="1808">
      <c r="D1808" s="337" t="inlineStr">
        <is>
          <t>1581</t>
        </is>
      </c>
      <c r="E1808" s="335" t="inlineStr">
        <is>
          <t>Nyali</t>
        </is>
      </c>
      <c r="F1808" s="345" t="inlineStr">
        <is>
          <t>1026</t>
        </is>
      </c>
    </row>
    <row r="1809">
      <c r="D1809" s="337" t="inlineStr">
        <is>
          <t>1584</t>
        </is>
      </c>
      <c r="E1809" s="335" t="inlineStr">
        <is>
          <t>Prestige - Ngong Road</t>
        </is>
      </c>
      <c r="F1809" s="345" t="inlineStr">
        <is>
          <t>1026</t>
        </is>
      </c>
    </row>
    <row r="1810">
      <c r="D1810" s="337" t="inlineStr">
        <is>
          <t>2137</t>
        </is>
      </c>
      <c r="E1810" s="335" t="inlineStr">
        <is>
          <t>SAMEER PARK</t>
        </is>
      </c>
      <c r="F1810" s="345" t="inlineStr">
        <is>
          <t>1026</t>
        </is>
      </c>
    </row>
    <row r="1811">
      <c r="D1811" s="337" t="inlineStr">
        <is>
          <t>2139</t>
        </is>
      </c>
      <c r="E1811" s="335" t="inlineStr">
        <is>
          <t>Taj Mall</t>
        </is>
      </c>
      <c r="F1811" s="345" t="inlineStr">
        <is>
          <t>1026</t>
        </is>
      </c>
    </row>
    <row r="1812">
      <c r="D1812" s="337" t="inlineStr">
        <is>
          <t>2130</t>
        </is>
      </c>
      <c r="E1812" s="335" t="inlineStr">
        <is>
          <t>The Junction Br.</t>
        </is>
      </c>
      <c r="F1812" s="345" t="inlineStr">
        <is>
          <t>1026</t>
        </is>
      </c>
    </row>
    <row r="1813">
      <c r="D1813" s="337" t="inlineStr">
        <is>
          <t>2132</t>
        </is>
      </c>
      <c r="E1813" s="335" t="inlineStr">
        <is>
          <t>Thika</t>
        </is>
      </c>
      <c r="F1813" s="345" t="inlineStr">
        <is>
          <t>1026</t>
        </is>
      </c>
    </row>
    <row r="1814">
      <c r="D1814" s="337" t="inlineStr">
        <is>
          <t>2141</t>
        </is>
      </c>
      <c r="E1814" s="335" t="inlineStr">
        <is>
          <t>Thika Road Mall</t>
        </is>
      </c>
      <c r="F1814" s="345" t="inlineStr">
        <is>
          <t>1026</t>
        </is>
      </c>
    </row>
    <row r="1815">
      <c r="D1815" s="337" t="inlineStr">
        <is>
          <t>2136</t>
        </is>
      </c>
      <c r="E1815" s="335" t="inlineStr">
        <is>
          <t>VILLAGE MARKET</t>
        </is>
      </c>
      <c r="F1815" s="345" t="inlineStr">
        <is>
          <t>1026</t>
        </is>
      </c>
    </row>
    <row r="1816">
      <c r="D1816" s="337" t="inlineStr">
        <is>
          <t>1579</t>
        </is>
      </c>
      <c r="E1816" s="335" t="inlineStr">
        <is>
          <t>Westlands</t>
        </is>
      </c>
      <c r="F1816" s="345" t="inlineStr">
        <is>
          <t>1026</t>
        </is>
      </c>
    </row>
    <row r="1817">
      <c r="D1817" s="346" t="inlineStr">
        <is>
          <t>1585</t>
        </is>
      </c>
      <c r="E1817" s="336" t="inlineStr">
        <is>
          <t>Banda</t>
        </is>
      </c>
      <c r="F1817" s="347" t="inlineStr">
        <is>
          <t>1027</t>
        </is>
      </c>
    </row>
    <row r="1818">
      <c r="D1818" s="346" t="inlineStr">
        <is>
          <t>1587</t>
        </is>
      </c>
      <c r="E1818" s="336" t="inlineStr">
        <is>
          <t>Industrial Area</t>
        </is>
      </c>
      <c r="F1818" s="347" t="inlineStr">
        <is>
          <t>1027</t>
        </is>
      </c>
    </row>
    <row r="1819">
      <c r="D1819" s="346" t="inlineStr">
        <is>
          <t>2142</t>
        </is>
      </c>
      <c r="E1819" s="336" t="inlineStr">
        <is>
          <t>Kimathi St.</t>
        </is>
      </c>
      <c r="F1819" s="347" t="inlineStr">
        <is>
          <t>1027</t>
        </is>
      </c>
    </row>
    <row r="1820">
      <c r="D1820" s="346" t="inlineStr">
        <is>
          <t>2143</t>
        </is>
      </c>
      <c r="E1820" s="336" t="inlineStr">
        <is>
          <t>Kisumu Branch</t>
        </is>
      </c>
      <c r="F1820" s="347" t="inlineStr">
        <is>
          <t>1027</t>
        </is>
      </c>
    </row>
    <row r="1821">
      <c r="D1821" s="346" t="inlineStr">
        <is>
          <t>1586</t>
        </is>
      </c>
      <c r="E1821" s="336" t="inlineStr">
        <is>
          <t>Mombasa</t>
        </is>
      </c>
      <c r="F1821" s="347" t="inlineStr">
        <is>
          <t>1027</t>
        </is>
      </c>
    </row>
    <row r="1822">
      <c r="D1822" s="346" t="inlineStr">
        <is>
          <t>2145</t>
        </is>
      </c>
      <c r="E1822" s="336" t="inlineStr">
        <is>
          <t>Parklands 3rd Avenue</t>
        </is>
      </c>
      <c r="F1822" s="347" t="inlineStr">
        <is>
          <t>1027</t>
        </is>
      </c>
    </row>
    <row r="1823">
      <c r="D1823" s="346" t="inlineStr">
        <is>
          <t>2144</t>
        </is>
      </c>
      <c r="E1823" s="336" t="inlineStr">
        <is>
          <t>Westlands</t>
        </is>
      </c>
      <c r="F1823" s="347" t="inlineStr">
        <is>
          <t>1027</t>
        </is>
      </c>
    </row>
    <row r="1824">
      <c r="D1824" s="337" t="inlineStr">
        <is>
          <t>1861</t>
        </is>
      </c>
      <c r="E1824" s="335" t="inlineStr">
        <is>
          <t>Akiba Hse Mombasa</t>
        </is>
      </c>
      <c r="F1824" s="345" t="inlineStr">
        <is>
          <t>1028</t>
        </is>
      </c>
    </row>
    <row r="1825">
      <c r="D1825" s="337" t="inlineStr">
        <is>
          <t>1877</t>
        </is>
      </c>
      <c r="E1825" s="335" t="inlineStr">
        <is>
          <t>Busia</t>
        </is>
      </c>
      <c r="F1825" s="345" t="inlineStr">
        <is>
          <t>1028</t>
        </is>
      </c>
    </row>
    <row r="1826">
      <c r="D1826" s="337" t="inlineStr">
        <is>
          <t>1864</t>
        </is>
      </c>
      <c r="E1826" s="335" t="inlineStr">
        <is>
          <t>Chambers</t>
        </is>
      </c>
      <c r="F1826" s="345" t="inlineStr">
        <is>
          <t>1028</t>
        </is>
      </c>
    </row>
    <row r="1827">
      <c r="D1827" s="337" t="inlineStr">
        <is>
          <t>1860</t>
        </is>
      </c>
      <c r="E1827" s="335" t="inlineStr">
        <is>
          <t>ECOTOWERS</t>
        </is>
      </c>
      <c r="F1827" s="345" t="inlineStr">
        <is>
          <t>1028</t>
        </is>
      </c>
    </row>
    <row r="1828">
      <c r="D1828" s="337" t="inlineStr">
        <is>
          <t>1866</t>
        </is>
      </c>
      <c r="E1828" s="335" t="inlineStr">
        <is>
          <t>Eldoret</t>
        </is>
      </c>
      <c r="F1828" s="345" t="inlineStr">
        <is>
          <t>1028</t>
        </is>
      </c>
    </row>
    <row r="1829">
      <c r="D1829" s="337" t="inlineStr">
        <is>
          <t>2146</t>
        </is>
      </c>
      <c r="E1829" s="335" t="inlineStr">
        <is>
          <t>Fedha Branch , Head Office</t>
        </is>
      </c>
      <c r="F1829" s="345" t="inlineStr">
        <is>
          <t>1028</t>
        </is>
      </c>
    </row>
    <row r="1830">
      <c r="D1830" s="337" t="inlineStr">
        <is>
          <t>1880</t>
        </is>
      </c>
      <c r="E1830" s="335" t="inlineStr">
        <is>
          <t>Gikomba</t>
        </is>
      </c>
      <c r="F1830" s="345" t="inlineStr">
        <is>
          <t>1028</t>
        </is>
      </c>
    </row>
    <row r="1831">
      <c r="D1831" s="337" t="inlineStr">
        <is>
          <t>2147</t>
        </is>
      </c>
      <c r="E1831" s="335" t="inlineStr">
        <is>
          <t>Head Office</t>
        </is>
      </c>
      <c r="F1831" s="345" t="inlineStr">
        <is>
          <t>1028</t>
        </is>
      </c>
    </row>
    <row r="1832">
      <c r="D1832" s="337" t="inlineStr">
        <is>
          <t>1870</t>
        </is>
      </c>
      <c r="E1832" s="335" t="inlineStr">
        <is>
          <t>Industrial Area</t>
        </is>
      </c>
      <c r="F1832" s="345" t="inlineStr">
        <is>
          <t>1028</t>
        </is>
      </c>
    </row>
    <row r="1833">
      <c r="D1833" s="337" t="inlineStr">
        <is>
          <t>1875</t>
        </is>
      </c>
      <c r="E1833" s="335" t="inlineStr">
        <is>
          <t>Jomo Kenyatta Avenue</t>
        </is>
      </c>
      <c r="F1833" s="345" t="inlineStr">
        <is>
          <t>1028</t>
        </is>
      </c>
    </row>
    <row r="1834">
      <c r="D1834" s="337" t="inlineStr">
        <is>
          <t>1871</t>
        </is>
      </c>
      <c r="E1834" s="335" t="inlineStr">
        <is>
          <t>Karatina</t>
        </is>
      </c>
      <c r="F1834" s="345" t="inlineStr">
        <is>
          <t>1028</t>
        </is>
      </c>
    </row>
    <row r="1835">
      <c r="D1835" s="337" t="inlineStr">
        <is>
          <t>1883</t>
        </is>
      </c>
      <c r="E1835" s="335" t="inlineStr">
        <is>
          <t>Karen</t>
        </is>
      </c>
      <c r="F1835" s="345" t="inlineStr">
        <is>
          <t>1028</t>
        </is>
      </c>
    </row>
    <row r="1836">
      <c r="D1836" s="337" t="inlineStr">
        <is>
          <t>1868</t>
        </is>
      </c>
      <c r="E1836" s="335" t="inlineStr">
        <is>
          <t>Kisii</t>
        </is>
      </c>
      <c r="F1836" s="345" t="inlineStr">
        <is>
          <t>1028</t>
        </is>
      </c>
    </row>
    <row r="1837">
      <c r="D1837" s="337" t="inlineStr">
        <is>
          <t>1867</t>
        </is>
      </c>
      <c r="E1837" s="335" t="inlineStr">
        <is>
          <t>Kisumu</t>
        </is>
      </c>
      <c r="F1837" s="345" t="inlineStr">
        <is>
          <t>1028</t>
        </is>
      </c>
    </row>
    <row r="1838">
      <c r="D1838" s="337" t="inlineStr">
        <is>
          <t>1869</t>
        </is>
      </c>
      <c r="E1838" s="335" t="inlineStr">
        <is>
          <t>Kitale</t>
        </is>
      </c>
      <c r="F1838" s="345" t="inlineStr">
        <is>
          <t>1028</t>
        </is>
      </c>
    </row>
    <row r="1839">
      <c r="D1839" s="337" t="inlineStr">
        <is>
          <t>1878</t>
        </is>
      </c>
      <c r="E1839" s="335" t="inlineStr">
        <is>
          <t>Malindi</t>
        </is>
      </c>
      <c r="F1839" s="345" t="inlineStr">
        <is>
          <t>1028</t>
        </is>
      </c>
    </row>
    <row r="1840">
      <c r="D1840" s="337" t="inlineStr">
        <is>
          <t>1879</t>
        </is>
      </c>
      <c r="E1840" s="335" t="inlineStr">
        <is>
          <t>Meru</t>
        </is>
      </c>
      <c r="F1840" s="345" t="inlineStr">
        <is>
          <t>1028</t>
        </is>
      </c>
    </row>
    <row r="1841">
      <c r="D1841" s="337" t="inlineStr">
        <is>
          <t>1874</t>
        </is>
      </c>
      <c r="E1841" s="335" t="inlineStr">
        <is>
          <t>Nakuru</t>
        </is>
      </c>
      <c r="F1841" s="345" t="inlineStr">
        <is>
          <t>1028</t>
        </is>
      </c>
    </row>
    <row r="1842">
      <c r="D1842" s="337" t="inlineStr">
        <is>
          <t>1884</t>
        </is>
      </c>
      <c r="E1842" s="335" t="inlineStr">
        <is>
          <t>Nyali Mombasa</t>
        </is>
      </c>
      <c r="F1842" s="345" t="inlineStr">
        <is>
          <t>1028</t>
        </is>
      </c>
    </row>
    <row r="1843">
      <c r="D1843" s="337" t="inlineStr">
        <is>
          <t>1876</t>
        </is>
      </c>
      <c r="E1843" s="335" t="inlineStr">
        <is>
          <t>Nyeri</t>
        </is>
      </c>
      <c r="F1843" s="345" t="inlineStr">
        <is>
          <t>1028</t>
        </is>
      </c>
    </row>
    <row r="1844">
      <c r="D1844" s="337" t="inlineStr">
        <is>
          <t>1862</t>
        </is>
      </c>
      <c r="E1844" s="335" t="inlineStr">
        <is>
          <t>Plaza 2000</t>
        </is>
      </c>
      <c r="F1844" s="345" t="inlineStr">
        <is>
          <t>1028</t>
        </is>
      </c>
    </row>
    <row r="1845">
      <c r="D1845" s="337" t="inlineStr">
        <is>
          <t>1865</t>
        </is>
      </c>
      <c r="E1845" s="335" t="inlineStr">
        <is>
          <t>Thika</t>
        </is>
      </c>
      <c r="F1845" s="345" t="inlineStr">
        <is>
          <t>1028</t>
        </is>
      </c>
    </row>
    <row r="1846">
      <c r="D1846" s="337" t="inlineStr">
        <is>
          <t>1873</t>
        </is>
      </c>
      <c r="E1846" s="335" t="inlineStr">
        <is>
          <t>United Mall</t>
        </is>
      </c>
      <c r="F1846" s="345" t="inlineStr">
        <is>
          <t>1028</t>
        </is>
      </c>
    </row>
    <row r="1847">
      <c r="D1847" s="337" t="inlineStr">
        <is>
          <t>1881</t>
        </is>
      </c>
      <c r="E1847" s="335" t="inlineStr">
        <is>
          <t>UpperHill</t>
        </is>
      </c>
      <c r="F1847" s="345" t="inlineStr">
        <is>
          <t>1028</t>
        </is>
      </c>
    </row>
    <row r="1848">
      <c r="D1848" s="337" t="inlineStr">
        <is>
          <t>1882</t>
        </is>
      </c>
      <c r="E1848" s="335" t="inlineStr">
        <is>
          <t>Valley Arcade</t>
        </is>
      </c>
      <c r="F1848" s="345" t="inlineStr">
        <is>
          <t>1028</t>
        </is>
      </c>
    </row>
    <row r="1849">
      <c r="D1849" s="337" t="inlineStr">
        <is>
          <t>1872</t>
        </is>
      </c>
      <c r="E1849" s="335" t="inlineStr">
        <is>
          <t>Westlands</t>
        </is>
      </c>
      <c r="F1849" s="345" t="inlineStr">
        <is>
          <t>1028</t>
        </is>
      </c>
    </row>
    <row r="1850">
      <c r="D1850" s="337" t="inlineStr">
        <is>
          <t>1863</t>
        </is>
      </c>
      <c r="E1850" s="335" t="inlineStr">
        <is>
          <t>Westminister</t>
        </is>
      </c>
      <c r="F1850" s="345" t="inlineStr">
        <is>
          <t>1028</t>
        </is>
      </c>
    </row>
    <row r="1851">
      <c r="D1851" s="346" t="inlineStr">
        <is>
          <t>2151</t>
        </is>
      </c>
      <c r="E1851" s="336" t="inlineStr">
        <is>
          <t>Chester</t>
        </is>
      </c>
      <c r="F1851" s="347" t="inlineStr">
        <is>
          <t>1029</t>
        </is>
      </c>
    </row>
    <row r="1852">
      <c r="D1852" s="346" t="inlineStr">
        <is>
          <t>2154</t>
        </is>
      </c>
      <c r="E1852" s="336" t="inlineStr">
        <is>
          <t>Eldoret</t>
        </is>
      </c>
      <c r="F1852" s="347" t="inlineStr">
        <is>
          <t>1029</t>
        </is>
      </c>
    </row>
    <row r="1853">
      <c r="D1853" s="346" t="inlineStr">
        <is>
          <t>2158</t>
        </is>
      </c>
      <c r="E1853" s="336" t="inlineStr">
        <is>
          <t>Industrial Area</t>
        </is>
      </c>
      <c r="F1853" s="347" t="inlineStr">
        <is>
          <t>1029</t>
        </is>
      </c>
    </row>
    <row r="1854">
      <c r="D1854" s="346" t="inlineStr">
        <is>
          <t>2153</t>
        </is>
      </c>
      <c r="E1854" s="336" t="inlineStr">
        <is>
          <t>Kakamega</t>
        </is>
      </c>
      <c r="F1854" s="347" t="inlineStr">
        <is>
          <t>1029</t>
        </is>
      </c>
    </row>
    <row r="1855">
      <c r="D1855" s="346" t="inlineStr">
        <is>
          <t>2157</t>
        </is>
      </c>
      <c r="E1855" s="336" t="inlineStr">
        <is>
          <t>Kisumu</t>
        </is>
      </c>
      <c r="F1855" s="347" t="inlineStr">
        <is>
          <t>1029</t>
        </is>
      </c>
    </row>
    <row r="1856">
      <c r="D1856" s="346" t="inlineStr">
        <is>
          <t>2148</t>
        </is>
      </c>
      <c r="E1856" s="336" t="inlineStr">
        <is>
          <t>Mombasa</t>
        </is>
      </c>
      <c r="F1856" s="347" t="inlineStr">
        <is>
          <t>1029</t>
        </is>
      </c>
    </row>
    <row r="1857">
      <c r="D1857" s="346" t="inlineStr">
        <is>
          <t>2150</t>
        </is>
      </c>
      <c r="E1857" s="336" t="inlineStr">
        <is>
          <t>Mombasa Road</t>
        </is>
      </c>
      <c r="F1857" s="347" t="inlineStr">
        <is>
          <t>1029</t>
        </is>
      </c>
    </row>
    <row r="1858">
      <c r="D1858" s="346" t="inlineStr">
        <is>
          <t>1591</t>
        </is>
      </c>
      <c r="E1858" s="336" t="inlineStr">
        <is>
          <t>Nairobi</t>
        </is>
      </c>
      <c r="F1858" s="347" t="inlineStr">
        <is>
          <t>1029</t>
        </is>
      </c>
    </row>
    <row r="1859">
      <c r="D1859" s="346" t="inlineStr">
        <is>
          <t>2159</t>
        </is>
      </c>
      <c r="E1859" s="336" t="inlineStr">
        <is>
          <t>Nakuru</t>
        </is>
      </c>
      <c r="F1859" s="347" t="inlineStr">
        <is>
          <t>1029</t>
        </is>
      </c>
    </row>
    <row r="1860">
      <c r="D1860" s="346" t="inlineStr">
        <is>
          <t>2156</t>
        </is>
      </c>
      <c r="E1860" s="336" t="inlineStr">
        <is>
          <t>Nyali</t>
        </is>
      </c>
      <c r="F1860" s="347" t="inlineStr">
        <is>
          <t>1029</t>
        </is>
      </c>
    </row>
    <row r="1861">
      <c r="D1861" s="346" t="inlineStr">
        <is>
          <t>1592</t>
        </is>
      </c>
      <c r="E1861" s="336" t="inlineStr">
        <is>
          <t>Nyerere</t>
        </is>
      </c>
      <c r="F1861" s="347" t="inlineStr">
        <is>
          <t>1029</t>
        </is>
      </c>
    </row>
    <row r="1862">
      <c r="D1862" s="346" t="inlineStr">
        <is>
          <t>2155</t>
        </is>
      </c>
      <c r="E1862" s="336" t="inlineStr">
        <is>
          <t>Senator Cards</t>
        </is>
      </c>
      <c r="F1862" s="347" t="inlineStr">
        <is>
          <t>1029</t>
        </is>
      </c>
    </row>
    <row r="1863">
      <c r="D1863" s="346" t="inlineStr">
        <is>
          <t>2152</t>
        </is>
      </c>
      <c r="E1863" s="336" t="inlineStr">
        <is>
          <t>Waiyaki Way</t>
        </is>
      </c>
      <c r="F1863" s="347" t="inlineStr">
        <is>
          <t>1029</t>
        </is>
      </c>
    </row>
    <row r="1864">
      <c r="D1864" s="346" t="inlineStr">
        <is>
          <t>2149</t>
        </is>
      </c>
      <c r="E1864" s="336" t="inlineStr">
        <is>
          <t>Westlands</t>
        </is>
      </c>
      <c r="F1864" s="347" t="inlineStr">
        <is>
          <t>1029</t>
        </is>
      </c>
    </row>
    <row r="1865">
      <c r="D1865" s="337" t="inlineStr">
        <is>
          <t>1595</t>
        </is>
      </c>
      <c r="E1865" s="335" t="inlineStr">
        <is>
          <t>Head Office</t>
        </is>
      </c>
      <c r="F1865" s="345" t="inlineStr">
        <is>
          <t>1030</t>
        </is>
      </c>
    </row>
    <row r="1866">
      <c r="D1866" s="337" t="inlineStr">
        <is>
          <t>2161</t>
        </is>
      </c>
      <c r="E1866" s="335" t="inlineStr">
        <is>
          <t>Koinange Street</t>
        </is>
      </c>
      <c r="F1866" s="345" t="inlineStr">
        <is>
          <t>1030</t>
        </is>
      </c>
    </row>
    <row r="1867">
      <c r="D1867" s="337" t="inlineStr">
        <is>
          <t>2162</t>
        </is>
      </c>
      <c r="E1867" s="335" t="inlineStr">
        <is>
          <t>Mombasa</t>
        </is>
      </c>
      <c r="F1867" s="345" t="inlineStr">
        <is>
          <t>1030</t>
        </is>
      </c>
    </row>
    <row r="1868">
      <c r="D1868" s="337" t="inlineStr">
        <is>
          <t>2160</t>
        </is>
      </c>
      <c r="E1868" s="335" t="inlineStr">
        <is>
          <t>Parklands</t>
        </is>
      </c>
      <c r="F1868" s="345" t="inlineStr">
        <is>
          <t>1030</t>
        </is>
      </c>
    </row>
    <row r="1869">
      <c r="D1869" s="337" t="inlineStr">
        <is>
          <t>1596</t>
        </is>
      </c>
      <c r="E1869" s="335" t="inlineStr">
        <is>
          <t>Westlands</t>
        </is>
      </c>
      <c r="F1869" s="345" t="inlineStr">
        <is>
          <t>1030</t>
        </is>
      </c>
    </row>
    <row r="1870">
      <c r="D1870" s="336" t="inlineStr">
        <is>
          <t>1603</t>
        </is>
      </c>
      <c r="E1870" s="336" t="inlineStr">
        <is>
          <t>Eldoret</t>
        </is>
      </c>
      <c r="F1870" s="336" t="inlineStr">
        <is>
          <t>1032</t>
        </is>
      </c>
    </row>
    <row r="1871">
      <c r="D1871" s="336" t="inlineStr">
        <is>
          <t>2185</t>
        </is>
      </c>
      <c r="E1871" s="336" t="inlineStr">
        <is>
          <t>Gikomba</t>
        </is>
      </c>
      <c r="F1871" s="336" t="inlineStr">
        <is>
          <t>1032</t>
        </is>
      </c>
    </row>
    <row r="1872">
      <c r="D1872" s="336" t="inlineStr">
        <is>
          <t>2178</t>
        </is>
      </c>
      <c r="E1872" s="336" t="inlineStr">
        <is>
          <t>Head Office</t>
        </is>
      </c>
      <c r="F1872" s="336" t="inlineStr">
        <is>
          <t>1032</t>
        </is>
      </c>
    </row>
    <row r="1873">
      <c r="D1873" s="336" t="inlineStr">
        <is>
          <t>1601</t>
        </is>
      </c>
      <c r="E1873" s="336" t="inlineStr">
        <is>
          <t>Ind Area</t>
        </is>
      </c>
      <c r="F1873" s="336" t="inlineStr">
        <is>
          <t>1032</t>
        </is>
      </c>
    </row>
    <row r="1874">
      <c r="D1874" s="336" t="inlineStr">
        <is>
          <t>1600</t>
        </is>
      </c>
      <c r="E1874" s="336" t="inlineStr">
        <is>
          <t>Kimathi Street</t>
        </is>
      </c>
      <c r="F1874" s="336" t="inlineStr">
        <is>
          <t>1032</t>
        </is>
      </c>
    </row>
    <row r="1875">
      <c r="D1875" s="336" t="inlineStr">
        <is>
          <t>2180</t>
        </is>
      </c>
      <c r="E1875" s="336" t="inlineStr">
        <is>
          <t>Lavington</t>
        </is>
      </c>
      <c r="F1875" s="336" t="inlineStr">
        <is>
          <t>1032</t>
        </is>
      </c>
    </row>
    <row r="1876">
      <c r="D1876" s="336" t="inlineStr">
        <is>
          <t>2187</t>
        </is>
      </c>
      <c r="E1876" s="336" t="inlineStr">
        <is>
          <t>Meru</t>
        </is>
      </c>
      <c r="F1876" s="336" t="inlineStr">
        <is>
          <t>1032</t>
        </is>
      </c>
    </row>
    <row r="1877">
      <c r="D1877" s="336" t="inlineStr">
        <is>
          <t>2182</t>
        </is>
      </c>
      <c r="E1877" s="336" t="inlineStr">
        <is>
          <t>Muthaiga</t>
        </is>
      </c>
      <c r="F1877" s="336" t="inlineStr">
        <is>
          <t>1032</t>
        </is>
      </c>
    </row>
    <row r="1878">
      <c r="D1878" s="336" t="inlineStr">
        <is>
          <t>1602</t>
        </is>
      </c>
      <c r="E1878" s="336" t="inlineStr">
        <is>
          <t>Nakuru</t>
        </is>
      </c>
      <c r="F1878" s="336" t="inlineStr">
        <is>
          <t>1032</t>
        </is>
      </c>
    </row>
    <row r="1879">
      <c r="D1879" s="336" t="inlineStr">
        <is>
          <t>2183</t>
        </is>
      </c>
      <c r="E1879" s="336" t="inlineStr">
        <is>
          <t>Nanyuki</t>
        </is>
      </c>
      <c r="F1879" s="336" t="inlineStr">
        <is>
          <t>1032</t>
        </is>
      </c>
    </row>
    <row r="1880">
      <c r="D1880" s="336" t="inlineStr">
        <is>
          <t>2186</t>
        </is>
      </c>
      <c r="E1880" s="336" t="inlineStr">
        <is>
          <t>Ngong Road</t>
        </is>
      </c>
      <c r="F1880" s="336" t="inlineStr">
        <is>
          <t>1032</t>
        </is>
      </c>
    </row>
    <row r="1881">
      <c r="D1881" s="336" t="inlineStr">
        <is>
          <t>2181</t>
        </is>
      </c>
      <c r="E1881" s="336" t="inlineStr">
        <is>
          <t>Nkrumah Road , Mombasa</t>
        </is>
      </c>
      <c r="F1881" s="336" t="inlineStr">
        <is>
          <t>1032</t>
        </is>
      </c>
    </row>
    <row r="1882">
      <c r="D1882" s="336" t="inlineStr">
        <is>
          <t>2188</t>
        </is>
      </c>
      <c r="E1882" s="336" t="inlineStr">
        <is>
          <t>Nyali</t>
        </is>
      </c>
      <c r="F1882" s="336" t="inlineStr">
        <is>
          <t>1032</t>
        </is>
      </c>
    </row>
    <row r="1883">
      <c r="D1883" s="336" t="inlineStr">
        <is>
          <t>2184</t>
        </is>
      </c>
      <c r="E1883" s="336" t="inlineStr">
        <is>
          <t>Thika</t>
        </is>
      </c>
      <c r="F1883" s="336" t="inlineStr">
        <is>
          <t>1032</t>
        </is>
      </c>
    </row>
    <row r="1884">
      <c r="D1884" s="336" t="inlineStr">
        <is>
          <t>2179</t>
        </is>
      </c>
      <c r="E1884" s="336" t="inlineStr">
        <is>
          <t>Westlands</t>
        </is>
      </c>
      <c r="F1884" s="336" t="inlineStr">
        <is>
          <t>1032</t>
        </is>
      </c>
    </row>
    <row r="1885">
      <c r="D1885" s="335" t="inlineStr">
        <is>
          <t>1605</t>
        </is>
      </c>
      <c r="E1885" s="335" t="inlineStr">
        <is>
          <t>Riverside Drive</t>
        </is>
      </c>
      <c r="F1885" s="335" t="inlineStr">
        <is>
          <t>1033</t>
        </is>
      </c>
    </row>
    <row r="1886">
      <c r="D1886" s="335" t="inlineStr">
        <is>
          <t>1604</t>
        </is>
      </c>
      <c r="E1886" s="335" t="inlineStr">
        <is>
          <t>Victoria Towers, Upperhill</t>
        </is>
      </c>
      <c r="F1886" s="335" t="inlineStr">
        <is>
          <t>1033</t>
        </is>
      </c>
    </row>
    <row r="1887">
      <c r="D1887" s="336" t="inlineStr">
        <is>
          <t>2191</t>
        </is>
      </c>
      <c r="E1887" s="336" t="inlineStr">
        <is>
          <t>Eldoret</t>
        </is>
      </c>
      <c r="F1887" s="336" t="inlineStr">
        <is>
          <t>1034</t>
        </is>
      </c>
    </row>
    <row r="1888">
      <c r="D1888" s="336" t="inlineStr">
        <is>
          <t>1606</t>
        </is>
      </c>
      <c r="E1888" s="336" t="inlineStr">
        <is>
          <t>Head Office</t>
        </is>
      </c>
      <c r="F1888" s="336" t="inlineStr">
        <is>
          <t>1034</t>
        </is>
      </c>
    </row>
    <row r="1889">
      <c r="D1889" s="336" t="inlineStr">
        <is>
          <t>2192</t>
        </is>
      </c>
      <c r="E1889" s="336" t="inlineStr">
        <is>
          <t>Kisumu</t>
        </is>
      </c>
      <c r="F1889" s="336" t="inlineStr">
        <is>
          <t>1034</t>
        </is>
      </c>
    </row>
    <row r="1890">
      <c r="D1890" s="336" t="inlineStr">
        <is>
          <t>2193</t>
        </is>
      </c>
      <c r="E1890" s="336" t="inlineStr">
        <is>
          <t>Moi Ave</t>
        </is>
      </c>
      <c r="F1890" s="336" t="inlineStr">
        <is>
          <t>1034</t>
        </is>
      </c>
    </row>
    <row r="1891">
      <c r="D1891" s="336" t="inlineStr">
        <is>
          <t>2190</t>
        </is>
      </c>
      <c r="E1891" s="336" t="inlineStr">
        <is>
          <t>Mombasa</t>
        </is>
      </c>
      <c r="F1891" s="336" t="inlineStr">
        <is>
          <t>1034</t>
        </is>
      </c>
    </row>
    <row r="1892">
      <c r="D1892" s="336" t="inlineStr">
        <is>
          <t>2194</t>
        </is>
      </c>
      <c r="E1892" s="336" t="inlineStr">
        <is>
          <t>Mombasa Road</t>
        </is>
      </c>
      <c r="F1892" s="336" t="inlineStr">
        <is>
          <t>1034</t>
        </is>
      </c>
    </row>
    <row r="1893">
      <c r="D1893" s="336" t="inlineStr">
        <is>
          <t>2196</t>
        </is>
      </c>
      <c r="E1893" s="336" t="inlineStr">
        <is>
          <t>Ngong Road</t>
        </is>
      </c>
      <c r="F1893" s="336" t="inlineStr">
        <is>
          <t>1034</t>
        </is>
      </c>
    </row>
    <row r="1894">
      <c r="D1894" s="336" t="inlineStr">
        <is>
          <t>2195</t>
        </is>
      </c>
      <c r="E1894" s="336" t="inlineStr">
        <is>
          <t>Nyali</t>
        </is>
      </c>
      <c r="F1894" s="336" t="inlineStr">
        <is>
          <t>1034</t>
        </is>
      </c>
    </row>
    <row r="1895">
      <c r="D1895" s="336" t="inlineStr">
        <is>
          <t>2189</t>
        </is>
      </c>
      <c r="E1895" s="336" t="inlineStr">
        <is>
          <t>Westlands</t>
        </is>
      </c>
      <c r="F1895" s="336" t="inlineStr">
        <is>
          <t>1034</t>
        </is>
      </c>
    </row>
    <row r="1896">
      <c r="D1896" s="335" t="inlineStr">
        <is>
          <t>1608</t>
        </is>
      </c>
      <c r="E1896" s="335" t="inlineStr">
        <is>
          <t>2nd Nong Avenue</t>
        </is>
      </c>
      <c r="F1896" s="335" t="inlineStr">
        <is>
          <t>1035</t>
        </is>
      </c>
    </row>
    <row r="1897">
      <c r="D1897" s="335" t="inlineStr">
        <is>
          <t>1610</t>
        </is>
      </c>
      <c r="E1897" s="335" t="inlineStr">
        <is>
          <t>Biashara St</t>
        </is>
      </c>
      <c r="F1897" s="335" t="inlineStr">
        <is>
          <t>1035</t>
        </is>
      </c>
    </row>
    <row r="1898">
      <c r="D1898" s="335" t="inlineStr">
        <is>
          <t>2210</t>
        </is>
      </c>
      <c r="E1898" s="335" t="inlineStr">
        <is>
          <t>Card Center</t>
        </is>
      </c>
      <c r="F1898" s="335" t="inlineStr">
        <is>
          <t>1035</t>
        </is>
      </c>
    </row>
    <row r="1899">
      <c r="D1899" s="335" t="inlineStr">
        <is>
          <t>2610</t>
        </is>
      </c>
      <c r="E1899" s="335" t="inlineStr">
        <is>
          <t>Changamwe Branch</t>
        </is>
      </c>
      <c r="F1899" s="335" t="inlineStr">
        <is>
          <t>1035</t>
        </is>
      </c>
    </row>
    <row r="1900">
      <c r="D1900" s="335" t="inlineStr">
        <is>
          <t>2206</t>
        </is>
      </c>
      <c r="E1900" s="335" t="inlineStr">
        <is>
          <t>Eldoret</t>
        </is>
      </c>
      <c r="F1900" s="335" t="inlineStr">
        <is>
          <t>1035</t>
        </is>
      </c>
    </row>
    <row r="1901">
      <c r="D1901" s="335" t="inlineStr">
        <is>
          <t>2632</t>
        </is>
      </c>
      <c r="E1901" s="335" t="inlineStr">
        <is>
          <t>Gigiri Branch</t>
        </is>
      </c>
      <c r="F1901" s="335" t="inlineStr">
        <is>
          <t>1035</t>
        </is>
      </c>
    </row>
    <row r="1902">
      <c r="D1902" s="335" t="inlineStr">
        <is>
          <t>2483</t>
        </is>
      </c>
      <c r="E1902" s="335" t="inlineStr">
        <is>
          <t>Head Office</t>
        </is>
      </c>
      <c r="F1902" s="335" t="inlineStr">
        <is>
          <t>1035</t>
        </is>
      </c>
    </row>
    <row r="1903">
      <c r="D1903" s="335" t="inlineStr">
        <is>
          <t>2198</t>
        </is>
      </c>
      <c r="E1903" s="335" t="inlineStr">
        <is>
          <t>Industrial Area</t>
        </is>
      </c>
      <c r="F1903" s="335" t="inlineStr">
        <is>
          <t>1035</t>
        </is>
      </c>
    </row>
    <row r="1904">
      <c r="D1904" s="335" t="inlineStr">
        <is>
          <t>2200</t>
        </is>
      </c>
      <c r="E1904" s="335" t="inlineStr">
        <is>
          <t>Karen</t>
        </is>
      </c>
      <c r="F1904" s="335" t="inlineStr">
        <is>
          <t>1035</t>
        </is>
      </c>
    </row>
    <row r="1905">
      <c r="D1905" s="335" t="inlineStr">
        <is>
          <t>1609</t>
        </is>
      </c>
      <c r="E1905" s="335" t="inlineStr">
        <is>
          <t>Kenyatta Avenue</t>
        </is>
      </c>
      <c r="F1905" s="335" t="inlineStr">
        <is>
          <t>1035</t>
        </is>
      </c>
    </row>
    <row r="1906">
      <c r="D1906" s="335" t="inlineStr">
        <is>
          <t>2209</t>
        </is>
      </c>
      <c r="E1906" s="335" t="inlineStr">
        <is>
          <t>Kisii</t>
        </is>
      </c>
      <c r="F1906" s="335" t="inlineStr">
        <is>
          <t>1035</t>
        </is>
      </c>
    </row>
    <row r="1907">
      <c r="D1907" s="335" t="inlineStr">
        <is>
          <t>2199</t>
        </is>
      </c>
      <c r="E1907" s="335" t="inlineStr">
        <is>
          <t>Kisumu</t>
        </is>
      </c>
      <c r="F1907" s="335" t="inlineStr">
        <is>
          <t>1035</t>
        </is>
      </c>
    </row>
    <row r="1908">
      <c r="D1908" s="335" t="inlineStr">
        <is>
          <t>2204</t>
        </is>
      </c>
      <c r="E1908" s="335" t="inlineStr">
        <is>
          <t>Langata Link</t>
        </is>
      </c>
      <c r="F1908" s="335" t="inlineStr">
        <is>
          <t>1035</t>
        </is>
      </c>
    </row>
    <row r="1909">
      <c r="D1909" s="335" t="inlineStr">
        <is>
          <t>2205</t>
        </is>
      </c>
      <c r="E1909" s="335" t="inlineStr">
        <is>
          <t>Lavington</t>
        </is>
      </c>
      <c r="F1909" s="335" t="inlineStr">
        <is>
          <t>1035</t>
        </is>
      </c>
    </row>
    <row r="1910">
      <c r="D1910" s="335" t="inlineStr">
        <is>
          <t>2611</t>
        </is>
      </c>
      <c r="E1910" s="335" t="inlineStr">
        <is>
          <t>Malindi Branch</t>
        </is>
      </c>
      <c r="F1910" s="335" t="inlineStr">
        <is>
          <t>1035</t>
        </is>
      </c>
    </row>
    <row r="1911">
      <c r="D1911" s="335" t="inlineStr">
        <is>
          <t>1611</t>
        </is>
      </c>
      <c r="E1911" s="335" t="inlineStr">
        <is>
          <t>Mombasa</t>
        </is>
      </c>
      <c r="F1911" s="335" t="inlineStr">
        <is>
          <t>1035</t>
        </is>
      </c>
    </row>
    <row r="1912">
      <c r="D1912" s="335" t="inlineStr">
        <is>
          <t>2207</t>
        </is>
      </c>
      <c r="E1912" s="335" t="inlineStr">
        <is>
          <t>NAKURU</t>
        </is>
      </c>
      <c r="F1912" s="335" t="inlineStr">
        <is>
          <t>1035</t>
        </is>
      </c>
    </row>
    <row r="1913">
      <c r="D1913" s="335" t="inlineStr">
        <is>
          <t>2203</t>
        </is>
      </c>
      <c r="E1913" s="335" t="inlineStr">
        <is>
          <t>Nyali Cinemax</t>
        </is>
      </c>
      <c r="F1913" s="335" t="inlineStr">
        <is>
          <t>1035</t>
        </is>
      </c>
    </row>
    <row r="1914">
      <c r="D1914" s="335" t="inlineStr">
        <is>
          <t>2612</t>
        </is>
      </c>
      <c r="E1914" s="335" t="inlineStr">
        <is>
          <t>Nyeri Branch</t>
        </is>
      </c>
      <c r="F1914" s="335" t="inlineStr">
        <is>
          <t>1035</t>
        </is>
      </c>
    </row>
    <row r="1915">
      <c r="D1915" s="335" t="inlineStr">
        <is>
          <t>1614</t>
        </is>
      </c>
      <c r="E1915" s="335" t="inlineStr">
        <is>
          <t>Ongata Rongai</t>
        </is>
      </c>
      <c r="F1915" s="335" t="inlineStr">
        <is>
          <t>1035</t>
        </is>
      </c>
    </row>
    <row r="1916">
      <c r="D1916" s="335" t="inlineStr">
        <is>
          <t>2201</t>
        </is>
      </c>
      <c r="E1916" s="335" t="inlineStr">
        <is>
          <t>Panari Centre</t>
        </is>
      </c>
      <c r="F1916" s="335" t="inlineStr">
        <is>
          <t>1035</t>
        </is>
      </c>
    </row>
    <row r="1917">
      <c r="D1917" s="335" t="inlineStr">
        <is>
          <t>1612</t>
        </is>
      </c>
      <c r="E1917" s="335" t="inlineStr">
        <is>
          <t>PARKLANDS</t>
        </is>
      </c>
      <c r="F1917" s="335" t="inlineStr">
        <is>
          <t>1035</t>
        </is>
      </c>
    </row>
    <row r="1918">
      <c r="D1918" s="335" t="inlineStr">
        <is>
          <t>2208</t>
        </is>
      </c>
      <c r="E1918" s="335" t="inlineStr">
        <is>
          <t>Riversid Drive Branch</t>
        </is>
      </c>
      <c r="F1918" s="335" t="inlineStr">
        <is>
          <t>1035</t>
        </is>
      </c>
    </row>
    <row r="1919">
      <c r="D1919" s="335" t="inlineStr">
        <is>
          <t>2197</t>
        </is>
      </c>
      <c r="E1919" s="335" t="inlineStr">
        <is>
          <t>Sarit Centre</t>
        </is>
      </c>
      <c r="F1919" s="335" t="inlineStr">
        <is>
          <t>1035</t>
        </is>
      </c>
    </row>
    <row r="1920">
      <c r="D1920" s="335" t="inlineStr">
        <is>
          <t>2202</t>
        </is>
      </c>
      <c r="E1920" s="335" t="inlineStr">
        <is>
          <t>South C Shopping Centre</t>
        </is>
      </c>
      <c r="F1920" s="335" t="inlineStr">
        <is>
          <t>1035</t>
        </is>
      </c>
    </row>
    <row r="1921">
      <c r="D1921" s="335" t="inlineStr">
        <is>
          <t>2633</t>
        </is>
      </c>
      <c r="E1921" s="335" t="inlineStr">
        <is>
          <t>Thika Branch</t>
        </is>
      </c>
      <c r="F1921" s="335" t="inlineStr">
        <is>
          <t>1035</t>
        </is>
      </c>
    </row>
    <row r="1922">
      <c r="D1922" s="335" t="inlineStr">
        <is>
          <t>1613</t>
        </is>
      </c>
      <c r="E1922" s="335" t="inlineStr">
        <is>
          <t>Wilson Airport</t>
        </is>
      </c>
      <c r="F1922" s="335" t="inlineStr">
        <is>
          <t>1035</t>
        </is>
      </c>
    </row>
    <row r="1923">
      <c r="D1923" s="336" t="inlineStr">
        <is>
          <t>1619</t>
        </is>
      </c>
      <c r="E1923" s="336" t="inlineStr">
        <is>
          <t>Head Office</t>
        </is>
      </c>
      <c r="F1923" s="336" t="inlineStr">
        <is>
          <t>1037</t>
        </is>
      </c>
    </row>
    <row r="1924">
      <c r="D1924" s="336" t="inlineStr">
        <is>
          <t>1620</t>
        </is>
      </c>
      <c r="E1924" s="336" t="inlineStr">
        <is>
          <t>Loita Street</t>
        </is>
      </c>
      <c r="F1924" s="336" t="inlineStr">
        <is>
          <t>1037</t>
        </is>
      </c>
    </row>
    <row r="1925">
      <c r="D1925" s="335" t="inlineStr">
        <is>
          <t>2212</t>
        </is>
      </c>
      <c r="E1925" s="335" t="inlineStr">
        <is>
          <t>Changamwe</t>
        </is>
      </c>
      <c r="F1925" s="335" t="inlineStr">
        <is>
          <t>1038</t>
        </is>
      </c>
    </row>
    <row r="1926">
      <c r="D1926" s="335" t="inlineStr">
        <is>
          <t>1622</t>
        </is>
      </c>
      <c r="E1926" s="335" t="inlineStr">
        <is>
          <t>City Centre</t>
        </is>
      </c>
      <c r="F1926" s="335" t="inlineStr">
        <is>
          <t>1038</t>
        </is>
      </c>
    </row>
    <row r="1927">
      <c r="D1927" s="335" t="inlineStr">
        <is>
          <t>1625</t>
        </is>
      </c>
      <c r="E1927" s="335" t="inlineStr">
        <is>
          <t>Diani</t>
        </is>
      </c>
      <c r="F1927" s="335" t="inlineStr">
        <is>
          <t>1038</t>
        </is>
      </c>
    </row>
    <row r="1928">
      <c r="D1928" s="335" t="inlineStr">
        <is>
          <t>1621</t>
        </is>
      </c>
      <c r="E1928" s="335" t="inlineStr">
        <is>
          <t>Head Office</t>
        </is>
      </c>
      <c r="F1928" s="335" t="inlineStr">
        <is>
          <t>1038</t>
        </is>
      </c>
    </row>
    <row r="1929">
      <c r="D1929" s="335" t="inlineStr">
        <is>
          <t>1624</t>
        </is>
      </c>
      <c r="E1929" s="335" t="inlineStr">
        <is>
          <t>Industrial Area</t>
        </is>
      </c>
      <c r="F1929" s="335" t="inlineStr">
        <is>
          <t>1038</t>
        </is>
      </c>
    </row>
    <row r="1930">
      <c r="D1930" s="335" t="inlineStr">
        <is>
          <t>2213</t>
        </is>
      </c>
      <c r="E1930" s="335" t="inlineStr">
        <is>
          <t>Kilimani</t>
        </is>
      </c>
      <c r="F1930" s="335" t="inlineStr">
        <is>
          <t>1038</t>
        </is>
      </c>
    </row>
    <row r="1931">
      <c r="D1931" s="335" t="inlineStr">
        <is>
          <t>1626</t>
        </is>
      </c>
      <c r="E1931" s="335" t="inlineStr">
        <is>
          <t>Malindi</t>
        </is>
      </c>
      <c r="F1931" s="335" t="inlineStr">
        <is>
          <t>1038</t>
        </is>
      </c>
    </row>
    <row r="1932">
      <c r="D1932" s="335" t="inlineStr">
        <is>
          <t>2211</t>
        </is>
      </c>
      <c r="E1932" s="335" t="inlineStr">
        <is>
          <t>Mombasa</t>
        </is>
      </c>
      <c r="F1932" s="335" t="inlineStr">
        <is>
          <t>1038</t>
        </is>
      </c>
    </row>
    <row r="1933">
      <c r="D1933" s="335" t="inlineStr">
        <is>
          <t>2214</t>
        </is>
      </c>
      <c r="E1933" s="335" t="inlineStr">
        <is>
          <t>New Muthaiga Branch</t>
        </is>
      </c>
      <c r="F1933" s="335" t="inlineStr">
        <is>
          <t>1038</t>
        </is>
      </c>
    </row>
    <row r="1934">
      <c r="D1934" s="335" t="inlineStr">
        <is>
          <t>2215</t>
        </is>
      </c>
      <c r="E1934" s="335" t="inlineStr">
        <is>
          <t>Nyali</t>
        </is>
      </c>
      <c r="F1934" s="335" t="inlineStr">
        <is>
          <t>1038</t>
        </is>
      </c>
    </row>
    <row r="1935">
      <c r="D1935" s="335" t="inlineStr">
        <is>
          <t>1623</t>
        </is>
      </c>
      <c r="E1935" s="335" t="inlineStr">
        <is>
          <t>Westlands</t>
        </is>
      </c>
      <c r="F1935" s="335" t="inlineStr">
        <is>
          <t>1038</t>
        </is>
      </c>
    </row>
    <row r="1936">
      <c r="D1936" s="336" t="inlineStr">
        <is>
          <t>2241</t>
        </is>
      </c>
      <c r="E1936" s="336" t="inlineStr">
        <is>
          <t>Bungoma</t>
        </is>
      </c>
      <c r="F1936" s="336" t="inlineStr">
        <is>
          <t>1039</t>
        </is>
      </c>
    </row>
    <row r="1937">
      <c r="D1937" s="336" t="inlineStr">
        <is>
          <t>2244</t>
        </is>
      </c>
      <c r="E1937" s="336" t="inlineStr">
        <is>
          <t>Buru Buru</t>
        </is>
      </c>
      <c r="F1937" s="336" t="inlineStr">
        <is>
          <t>1039</t>
        </is>
      </c>
    </row>
    <row r="1938">
      <c r="D1938" s="336" t="inlineStr">
        <is>
          <t>2626</t>
        </is>
      </c>
      <c r="E1938" s="336" t="inlineStr">
        <is>
          <t>BUSIA</t>
        </is>
      </c>
      <c r="F1938" s="336" t="inlineStr">
        <is>
          <t>1039</t>
        </is>
      </c>
    </row>
    <row r="1939">
      <c r="D1939" s="336" t="inlineStr">
        <is>
          <t>2236</t>
        </is>
      </c>
      <c r="E1939" s="336" t="inlineStr">
        <is>
          <t>Changamwe</t>
        </is>
      </c>
      <c r="F1939" s="336" t="inlineStr">
        <is>
          <t>1039</t>
        </is>
      </c>
    </row>
    <row r="1940">
      <c r="D1940" s="336" t="inlineStr">
        <is>
          <t>2627</t>
        </is>
      </c>
      <c r="E1940" s="336" t="inlineStr">
        <is>
          <t>CITY MALL</t>
        </is>
      </c>
      <c r="F1940" s="336" t="inlineStr">
        <is>
          <t>1039</t>
        </is>
      </c>
    </row>
    <row r="1941">
      <c r="D1941" s="336" t="inlineStr">
        <is>
          <t>2261</t>
        </is>
      </c>
      <c r="E1941" s="336" t="inlineStr">
        <is>
          <t>Courtyard Branch</t>
        </is>
      </c>
      <c r="F1941" s="336" t="inlineStr">
        <is>
          <t>1039</t>
        </is>
      </c>
    </row>
    <row r="1942">
      <c r="D1942" s="336" t="inlineStr">
        <is>
          <t>2256</t>
        </is>
      </c>
      <c r="E1942" s="336" t="inlineStr">
        <is>
          <t>crossroad</t>
        </is>
      </c>
      <c r="F1942" s="336" t="inlineStr">
        <is>
          <t>1039</t>
        </is>
      </c>
    </row>
    <row r="1943">
      <c r="D1943" s="336" t="inlineStr">
        <is>
          <t>2249</t>
        </is>
      </c>
      <c r="E1943" s="336" t="inlineStr">
        <is>
          <t>CROWN PLAZA</t>
        </is>
      </c>
      <c r="F1943" s="336" t="inlineStr">
        <is>
          <t>1039</t>
        </is>
      </c>
    </row>
    <row r="1944">
      <c r="D1944" s="336" t="inlineStr">
        <is>
          <t>2255</t>
        </is>
      </c>
      <c r="E1944" s="336" t="inlineStr">
        <is>
          <t>Diamond Plaza</t>
        </is>
      </c>
      <c r="F1944" s="336" t="inlineStr">
        <is>
          <t>1039</t>
        </is>
      </c>
    </row>
    <row r="1945">
      <c r="D1945" s="336" t="inlineStr">
        <is>
          <t>2631</t>
        </is>
      </c>
      <c r="E1945" s="336" t="inlineStr">
        <is>
          <t>DIAMOND TRUST HOUSE</t>
        </is>
      </c>
      <c r="F1945" s="336" t="inlineStr">
        <is>
          <t>1039</t>
        </is>
      </c>
    </row>
    <row r="1946">
      <c r="D1946" s="336" t="inlineStr">
        <is>
          <t>2240</t>
        </is>
      </c>
      <c r="E1946" s="336" t="inlineStr">
        <is>
          <t>Diani</t>
        </is>
      </c>
      <c r="F1946" s="336" t="inlineStr">
        <is>
          <t>1039</t>
        </is>
      </c>
    </row>
    <row r="1947">
      <c r="D1947" s="336" t="inlineStr">
        <is>
          <t>2629</t>
        </is>
      </c>
      <c r="E1947" s="336" t="inlineStr">
        <is>
          <t>DTB CENTER</t>
        </is>
      </c>
      <c r="F1947" s="336" t="inlineStr">
        <is>
          <t>1039</t>
        </is>
      </c>
    </row>
    <row r="1948">
      <c r="D1948" s="336" t="inlineStr">
        <is>
          <t>2235</t>
        </is>
      </c>
      <c r="E1948" s="336" t="inlineStr">
        <is>
          <t>Eastleigh</t>
        </is>
      </c>
      <c r="F1948" s="336" t="inlineStr">
        <is>
          <t>1039</t>
        </is>
      </c>
    </row>
    <row r="1949">
      <c r="D1949" s="336" t="inlineStr">
        <is>
          <t>2234</t>
        </is>
      </c>
      <c r="E1949" s="336" t="inlineStr">
        <is>
          <t>Eldoret</t>
        </is>
      </c>
      <c r="F1949" s="336" t="inlineStr">
        <is>
          <t>1039</t>
        </is>
      </c>
    </row>
    <row r="1950">
      <c r="D1950" s="336" t="inlineStr">
        <is>
          <t>1627</t>
        </is>
      </c>
      <c r="E1950" s="336" t="inlineStr">
        <is>
          <t>Head Office</t>
        </is>
      </c>
      <c r="F1950" s="336" t="inlineStr">
        <is>
          <t>1039</t>
        </is>
      </c>
    </row>
    <row r="1951">
      <c r="D1951" s="336" t="inlineStr">
        <is>
          <t>1629</t>
        </is>
      </c>
      <c r="E1951" s="336" t="inlineStr">
        <is>
          <t>Ind Area</t>
        </is>
      </c>
      <c r="F1951" s="336" t="inlineStr">
        <is>
          <t>1039</t>
        </is>
      </c>
    </row>
    <row r="1952">
      <c r="D1952" s="336" t="inlineStr">
        <is>
          <t>2257</t>
        </is>
      </c>
      <c r="E1952" s="336" t="inlineStr">
        <is>
          <t>JKIA</t>
        </is>
      </c>
      <c r="F1952" s="336" t="inlineStr">
        <is>
          <t>1039</t>
        </is>
      </c>
    </row>
    <row r="1953">
      <c r="D1953" s="336" t="inlineStr">
        <is>
          <t>2246</t>
        </is>
      </c>
      <c r="E1953" s="336" t="inlineStr">
        <is>
          <t>Jomo Kenyatta Branch</t>
        </is>
      </c>
      <c r="F1953" s="336" t="inlineStr">
        <is>
          <t>1039</t>
        </is>
      </c>
    </row>
    <row r="1954">
      <c r="D1954" s="336" t="inlineStr">
        <is>
          <t>2247</t>
        </is>
      </c>
      <c r="E1954" s="336" t="inlineStr">
        <is>
          <t>Kakamega</t>
        </is>
      </c>
      <c r="F1954" s="336" t="inlineStr">
        <is>
          <t>1039</t>
        </is>
      </c>
    </row>
    <row r="1955">
      <c r="D1955" s="336" t="inlineStr">
        <is>
          <t>2251</t>
        </is>
      </c>
      <c r="E1955" s="336" t="inlineStr">
        <is>
          <t>Karen</t>
        </is>
      </c>
      <c r="F1955" s="336" t="inlineStr">
        <is>
          <t>1039</t>
        </is>
      </c>
    </row>
    <row r="1956">
      <c r="D1956" s="336" t="inlineStr">
        <is>
          <t>2248</t>
        </is>
      </c>
      <c r="E1956" s="336" t="inlineStr">
        <is>
          <t>Kericho</t>
        </is>
      </c>
      <c r="F1956" s="336" t="inlineStr">
        <is>
          <t>1039</t>
        </is>
      </c>
    </row>
    <row r="1957">
      <c r="D1957" s="336" t="inlineStr">
        <is>
          <t>2264</t>
        </is>
      </c>
      <c r="E1957" s="336" t="inlineStr">
        <is>
          <t>Kilifi Branch</t>
        </is>
      </c>
      <c r="F1957" s="336" t="inlineStr">
        <is>
          <t>1039</t>
        </is>
      </c>
    </row>
    <row r="1958">
      <c r="D1958" s="336" t="inlineStr">
        <is>
          <t>1630</t>
        </is>
      </c>
      <c r="E1958" s="336" t="inlineStr">
        <is>
          <t>Kisii</t>
        </is>
      </c>
      <c r="F1958" s="336" t="inlineStr">
        <is>
          <t>1039</t>
        </is>
      </c>
    </row>
    <row r="1959">
      <c r="D1959" s="336" t="inlineStr">
        <is>
          <t>2230</t>
        </is>
      </c>
      <c r="E1959" s="336" t="inlineStr">
        <is>
          <t>Kisumu</t>
        </is>
      </c>
      <c r="F1959" s="336" t="inlineStr">
        <is>
          <t>1039</t>
        </is>
      </c>
    </row>
    <row r="1960">
      <c r="D1960" s="336" t="inlineStr">
        <is>
          <t>2242</t>
        </is>
      </c>
      <c r="E1960" s="336" t="inlineStr">
        <is>
          <t>Kitale</t>
        </is>
      </c>
      <c r="F1960" s="336" t="inlineStr">
        <is>
          <t>1039</t>
        </is>
      </c>
    </row>
    <row r="1961">
      <c r="D1961" s="336" t="inlineStr">
        <is>
          <t>2245</t>
        </is>
      </c>
      <c r="E1961" s="336" t="inlineStr">
        <is>
          <t>Kitengela</t>
        </is>
      </c>
      <c r="F1961" s="336" t="inlineStr">
        <is>
          <t>1039</t>
        </is>
      </c>
    </row>
    <row r="1962">
      <c r="D1962" s="336" t="inlineStr">
        <is>
          <t>2263</t>
        </is>
      </c>
      <c r="E1962" s="336" t="inlineStr">
        <is>
          <t>Lamu Branch</t>
        </is>
      </c>
      <c r="F1962" s="336" t="inlineStr">
        <is>
          <t>1039</t>
        </is>
      </c>
    </row>
    <row r="1963">
      <c r="D1963" s="336" t="inlineStr">
        <is>
          <t>2260</t>
        </is>
      </c>
      <c r="E1963" s="336" t="inlineStr">
        <is>
          <t>Madina Mall</t>
        </is>
      </c>
      <c r="F1963" s="336" t="inlineStr">
        <is>
          <t>1039</t>
        </is>
      </c>
    </row>
    <row r="1964">
      <c r="D1964" s="336" t="inlineStr">
        <is>
          <t>2233</t>
        </is>
      </c>
      <c r="E1964" s="336" t="inlineStr">
        <is>
          <t>Malindi</t>
        </is>
      </c>
      <c r="F1964" s="336" t="inlineStr">
        <is>
          <t>1039</t>
        </is>
      </c>
    </row>
    <row r="1965">
      <c r="D1965" s="336" t="inlineStr">
        <is>
          <t>2265</t>
        </is>
      </c>
      <c r="E1965" s="336" t="inlineStr">
        <is>
          <t>Mariakani Branch</t>
        </is>
      </c>
      <c r="F1965" s="336" t="inlineStr">
        <is>
          <t>1039</t>
        </is>
      </c>
    </row>
    <row r="1966">
      <c r="D1966" s="336" t="inlineStr">
        <is>
          <t>2254</t>
        </is>
      </c>
      <c r="E1966" s="336" t="inlineStr">
        <is>
          <t>Meru</t>
        </is>
      </c>
      <c r="F1966" s="336" t="inlineStr">
        <is>
          <t>1039</t>
        </is>
      </c>
    </row>
    <row r="1967">
      <c r="D1967" s="336" t="inlineStr">
        <is>
          <t>2259</t>
        </is>
      </c>
      <c r="E1967" s="336" t="inlineStr">
        <is>
          <t>Migori Branch</t>
        </is>
      </c>
      <c r="F1967" s="336" t="inlineStr">
        <is>
          <t>1039</t>
        </is>
      </c>
    </row>
    <row r="1968">
      <c r="D1968" s="336" t="inlineStr">
        <is>
          <t>2229</t>
        </is>
      </c>
      <c r="E1968" s="336" t="inlineStr">
        <is>
          <t>Mombasa</t>
        </is>
      </c>
      <c r="F1968" s="336" t="inlineStr">
        <is>
          <t>1039</t>
        </is>
      </c>
    </row>
    <row r="1969">
      <c r="D1969" s="336" t="inlineStr">
        <is>
          <t>2232</t>
        </is>
      </c>
      <c r="E1969" s="336" t="inlineStr">
        <is>
          <t>Mombasa Rd</t>
        </is>
      </c>
      <c r="F1969" s="336" t="inlineStr">
        <is>
          <t>1039</t>
        </is>
      </c>
    </row>
    <row r="1970">
      <c r="D1970" s="336" t="inlineStr">
        <is>
          <t>2262</t>
        </is>
      </c>
      <c r="E1970" s="336" t="inlineStr">
        <is>
          <t>Mtwapa Branch</t>
        </is>
      </c>
      <c r="F1970" s="336" t="inlineStr">
        <is>
          <t>1039</t>
        </is>
      </c>
    </row>
    <row r="1971">
      <c r="D1971" s="336" t="inlineStr">
        <is>
          <t>2238</t>
        </is>
      </c>
      <c r="E1971" s="336" t="inlineStr">
        <is>
          <t>Nakuru</t>
        </is>
      </c>
      <c r="F1971" s="336" t="inlineStr">
        <is>
          <t>1039</t>
        </is>
      </c>
    </row>
    <row r="1972">
      <c r="D1972" s="336" t="inlineStr">
        <is>
          <t>2228</t>
        </is>
      </c>
      <c r="E1972" s="336" t="inlineStr">
        <is>
          <t>Nation Centre</t>
        </is>
      </c>
      <c r="F1972" s="336" t="inlineStr">
        <is>
          <t>1039</t>
        </is>
      </c>
    </row>
    <row r="1973">
      <c r="D1973" s="336" t="inlineStr">
        <is>
          <t>2258</t>
        </is>
      </c>
      <c r="E1973" s="336" t="inlineStr">
        <is>
          <t>Nyali</t>
        </is>
      </c>
      <c r="F1973" s="336" t="inlineStr">
        <is>
          <t>1039</t>
        </is>
      </c>
    </row>
    <row r="1974">
      <c r="D1974" s="336" t="inlineStr">
        <is>
          <t>1632</t>
        </is>
      </c>
      <c r="E1974" s="336" t="inlineStr">
        <is>
          <t>Otc</t>
        </is>
      </c>
      <c r="F1974" s="336" t="inlineStr">
        <is>
          <t>1039</t>
        </is>
      </c>
    </row>
    <row r="1975">
      <c r="D1975" s="336" t="inlineStr">
        <is>
          <t>2231</t>
        </is>
      </c>
      <c r="E1975" s="336" t="inlineStr">
        <is>
          <t>Parklands</t>
        </is>
      </c>
      <c r="F1975" s="336" t="inlineStr">
        <is>
          <t>1039</t>
        </is>
      </c>
    </row>
    <row r="1976">
      <c r="D1976" s="336" t="inlineStr">
        <is>
          <t>2243</t>
        </is>
      </c>
      <c r="E1976" s="336" t="inlineStr">
        <is>
          <t>Prestige</t>
        </is>
      </c>
      <c r="F1976" s="336" t="inlineStr">
        <is>
          <t>1039</t>
        </is>
      </c>
    </row>
    <row r="1977">
      <c r="D1977" s="336" t="inlineStr">
        <is>
          <t>2628</t>
        </is>
      </c>
      <c r="E1977" s="336" t="inlineStr">
        <is>
          <t>RAILWAYS</t>
        </is>
      </c>
      <c r="F1977" s="336" t="inlineStr">
        <is>
          <t>1039</t>
        </is>
      </c>
    </row>
    <row r="1978">
      <c r="D1978" s="336" t="inlineStr">
        <is>
          <t>2625</t>
        </is>
      </c>
      <c r="E1978" s="336" t="inlineStr">
        <is>
          <t>RONALD NGALA</t>
        </is>
      </c>
      <c r="F1978" s="336" t="inlineStr">
        <is>
          <t>1039</t>
        </is>
      </c>
    </row>
    <row r="1979">
      <c r="D1979" s="336" t="inlineStr">
        <is>
          <t>2253</t>
        </is>
      </c>
      <c r="E1979" s="336" t="inlineStr">
        <is>
          <t>Shimanzi</t>
        </is>
      </c>
      <c r="F1979" s="336" t="inlineStr">
        <is>
          <t>1039</t>
        </is>
      </c>
    </row>
    <row r="1980">
      <c r="D1980" s="336" t="inlineStr">
        <is>
          <t>2630</t>
        </is>
      </c>
      <c r="E1980" s="336" t="inlineStr">
        <is>
          <t>SOUTH C</t>
        </is>
      </c>
      <c r="F1980" s="336" t="inlineStr">
        <is>
          <t>1039</t>
        </is>
      </c>
    </row>
    <row r="1981">
      <c r="D1981" s="336" t="inlineStr">
        <is>
          <t>1631</t>
        </is>
      </c>
      <c r="E1981" s="336" t="inlineStr">
        <is>
          <t>Thika</t>
        </is>
      </c>
      <c r="F1981" s="336" t="inlineStr">
        <is>
          <t>1039</t>
        </is>
      </c>
    </row>
    <row r="1982">
      <c r="D1982" s="336" t="inlineStr">
        <is>
          <t>2624</t>
        </is>
      </c>
      <c r="E1982" s="336" t="inlineStr">
        <is>
          <t>THIKA ROAD MALL</t>
        </is>
      </c>
      <c r="F1982" s="336" t="inlineStr">
        <is>
          <t>1039</t>
        </is>
      </c>
    </row>
    <row r="1983">
      <c r="D1983" s="336" t="inlineStr">
        <is>
          <t>2237</t>
        </is>
      </c>
      <c r="E1983" s="336" t="inlineStr">
        <is>
          <t>T-mall</t>
        </is>
      </c>
      <c r="F1983" s="336" t="inlineStr">
        <is>
          <t>1039</t>
        </is>
      </c>
    </row>
    <row r="1984">
      <c r="D1984" s="336" t="inlineStr">
        <is>
          <t>2266</t>
        </is>
      </c>
      <c r="E1984" s="336" t="inlineStr">
        <is>
          <t>Tom Mboya</t>
        </is>
      </c>
      <c r="F1984" s="336" t="inlineStr">
        <is>
          <t>1039</t>
        </is>
      </c>
    </row>
    <row r="1985">
      <c r="D1985" s="336" t="inlineStr">
        <is>
          <t>2239</t>
        </is>
      </c>
      <c r="E1985" s="336" t="inlineStr">
        <is>
          <t>Village Market</t>
        </is>
      </c>
      <c r="F1985" s="336" t="inlineStr">
        <is>
          <t>1039</t>
        </is>
      </c>
    </row>
    <row r="1986">
      <c r="D1986" s="336" t="inlineStr">
        <is>
          <t>2252</t>
        </is>
      </c>
      <c r="E1986" s="336" t="inlineStr">
        <is>
          <t>Voi</t>
        </is>
      </c>
      <c r="F1986" s="336" t="inlineStr">
        <is>
          <t>1039</t>
        </is>
      </c>
    </row>
    <row r="1987">
      <c r="D1987" s="336" t="inlineStr">
        <is>
          <t>2250</t>
        </is>
      </c>
      <c r="E1987" s="336" t="inlineStr">
        <is>
          <t>Wabera Street</t>
        </is>
      </c>
      <c r="F1987" s="336" t="inlineStr">
        <is>
          <t>1039</t>
        </is>
      </c>
    </row>
    <row r="1988">
      <c r="D1988" s="336" t="inlineStr">
        <is>
          <t>1628</t>
        </is>
      </c>
      <c r="E1988" s="336" t="inlineStr">
        <is>
          <t>Westgate</t>
        </is>
      </c>
      <c r="F1988" s="336" t="inlineStr">
        <is>
          <t>1039</t>
        </is>
      </c>
    </row>
    <row r="1989">
      <c r="D1989" s="335" t="inlineStr">
        <is>
          <t>1658</t>
        </is>
      </c>
      <c r="E1989" s="335" t="inlineStr">
        <is>
          <t>Bungoma</t>
        </is>
      </c>
      <c r="F1989" s="335" t="inlineStr">
        <is>
          <t>1040</t>
        </is>
      </c>
    </row>
    <row r="1990">
      <c r="D1990" s="335" t="inlineStr">
        <is>
          <t>1639</t>
        </is>
      </c>
      <c r="E1990" s="335" t="inlineStr">
        <is>
          <t>Buruburu</t>
        </is>
      </c>
      <c r="F1990" s="335" t="inlineStr">
        <is>
          <t>1040</t>
        </is>
      </c>
    </row>
    <row r="1991">
      <c r="D1991" s="335" t="inlineStr">
        <is>
          <t>2437</t>
        </is>
      </c>
      <c r="E1991" s="335" t="inlineStr">
        <is>
          <t>Busia</t>
        </is>
      </c>
      <c r="F1991" s="335" t="inlineStr">
        <is>
          <t>1040</t>
        </is>
      </c>
    </row>
    <row r="1992">
      <c r="D1992" s="335" t="inlineStr">
        <is>
          <t>2267</t>
        </is>
      </c>
      <c r="E1992" s="335" t="inlineStr">
        <is>
          <t>CHUKA</t>
        </is>
      </c>
      <c r="F1992" s="335" t="inlineStr">
        <is>
          <t>1040</t>
        </is>
      </c>
    </row>
    <row r="1993">
      <c r="D1993" s="335" t="inlineStr">
        <is>
          <t>1641</t>
        </is>
      </c>
      <c r="E1993" s="335" t="inlineStr">
        <is>
          <t>Eldoret</t>
        </is>
      </c>
      <c r="F1993" s="335" t="inlineStr">
        <is>
          <t>1040</t>
        </is>
      </c>
    </row>
    <row r="1994">
      <c r="D1994" s="335" t="inlineStr">
        <is>
          <t>1651</t>
        </is>
      </c>
      <c r="E1994" s="335" t="inlineStr">
        <is>
          <t>Email</t>
        </is>
      </c>
      <c r="F1994" s="335" t="inlineStr">
        <is>
          <t>1040</t>
        </is>
      </c>
    </row>
    <row r="1995">
      <c r="D1995" s="335" t="inlineStr">
        <is>
          <t>1640</t>
        </is>
      </c>
      <c r="E1995" s="335" t="inlineStr">
        <is>
          <t>Embu</t>
        </is>
      </c>
      <c r="F1995" s="335" t="inlineStr">
        <is>
          <t>1040</t>
        </is>
      </c>
    </row>
    <row r="1996">
      <c r="D1996" s="335" t="inlineStr">
        <is>
          <t>1633</t>
        </is>
      </c>
      <c r="E1996" s="335" t="inlineStr">
        <is>
          <t>Head Office</t>
        </is>
      </c>
      <c r="F1996" s="335" t="inlineStr">
        <is>
          <t>1040</t>
        </is>
      </c>
    </row>
    <row r="1997">
      <c r="D1997" s="335" t="inlineStr">
        <is>
          <t>1654</t>
        </is>
      </c>
      <c r="E1997" s="335" t="inlineStr">
        <is>
          <t>Isiolo</t>
        </is>
      </c>
      <c r="F1997" s="335" t="inlineStr">
        <is>
          <t>1040</t>
        </is>
      </c>
    </row>
    <row r="1998">
      <c r="D1998" s="335" t="inlineStr">
        <is>
          <t>1659</t>
        </is>
      </c>
      <c r="E1998" s="335" t="inlineStr">
        <is>
          <t>Kajiado</t>
        </is>
      </c>
      <c r="F1998" s="335" t="inlineStr">
        <is>
          <t>1040</t>
        </is>
      </c>
    </row>
    <row r="1999">
      <c r="D1999" s="335" t="inlineStr">
        <is>
          <t>2435</t>
        </is>
      </c>
      <c r="E1999" s="335" t="inlineStr">
        <is>
          <t>Kangemi</t>
        </is>
      </c>
      <c r="F1999" s="335" t="inlineStr">
        <is>
          <t>1040</t>
        </is>
      </c>
    </row>
    <row r="2000">
      <c r="D2000" s="335" t="inlineStr">
        <is>
          <t>1663</t>
        </is>
      </c>
      <c r="E2000" s="335" t="inlineStr">
        <is>
          <t>Kengeleni</t>
        </is>
      </c>
      <c r="F2000" s="335" t="inlineStr">
        <is>
          <t>1040</t>
        </is>
      </c>
    </row>
    <row r="2001">
      <c r="D2001" s="335" t="inlineStr">
        <is>
          <t>1636</t>
        </is>
      </c>
      <c r="E2001" s="335" t="inlineStr">
        <is>
          <t>Kenyatta Ave Nbi</t>
        </is>
      </c>
      <c r="F2001" s="335" t="inlineStr">
        <is>
          <t>1040</t>
        </is>
      </c>
    </row>
    <row r="2002">
      <c r="D2002" s="335" t="inlineStr">
        <is>
          <t>1646</t>
        </is>
      </c>
      <c r="E2002" s="335" t="inlineStr">
        <is>
          <t>Kenyatta Market</t>
        </is>
      </c>
      <c r="F2002" s="335" t="inlineStr">
        <is>
          <t>1040</t>
        </is>
      </c>
    </row>
    <row r="2003">
      <c r="D2003" s="335" t="inlineStr">
        <is>
          <t>1643</t>
        </is>
      </c>
      <c r="E2003" s="335" t="inlineStr">
        <is>
          <t>Kericho</t>
        </is>
      </c>
      <c r="F2003" s="335" t="inlineStr">
        <is>
          <t>1040</t>
        </is>
      </c>
    </row>
    <row r="2004">
      <c r="D2004" s="335" t="inlineStr">
        <is>
          <t>2268</t>
        </is>
      </c>
      <c r="E2004" s="335" t="inlineStr">
        <is>
          <t>Kerugoya</t>
        </is>
      </c>
      <c r="F2004" s="335" t="inlineStr">
        <is>
          <t>1040</t>
        </is>
      </c>
    </row>
    <row r="2005">
      <c r="D2005" s="335" t="inlineStr">
        <is>
          <t>1657</t>
        </is>
      </c>
      <c r="E2005" s="335" t="inlineStr">
        <is>
          <t>Kibwezi</t>
        </is>
      </c>
      <c r="F2005" s="335" t="inlineStr">
        <is>
          <t>1040</t>
        </is>
      </c>
    </row>
    <row r="2006">
      <c r="D2006" s="335" t="inlineStr">
        <is>
          <t>1664</t>
        </is>
      </c>
      <c r="E2006" s="335" t="inlineStr">
        <is>
          <t>Kilimani</t>
        </is>
      </c>
      <c r="F2006" s="335" t="inlineStr">
        <is>
          <t>1040</t>
        </is>
      </c>
    </row>
    <row r="2007">
      <c r="D2007" s="335" t="inlineStr">
        <is>
          <t>1647</t>
        </is>
      </c>
      <c r="E2007" s="335" t="inlineStr">
        <is>
          <t>Kisii</t>
        </is>
      </c>
      <c r="F2007" s="335" t="inlineStr">
        <is>
          <t>1040</t>
        </is>
      </c>
    </row>
    <row r="2008">
      <c r="D2008" s="335" t="inlineStr">
        <is>
          <t>1642</t>
        </is>
      </c>
      <c r="E2008" s="335" t="inlineStr">
        <is>
          <t>Kisumu</t>
        </is>
      </c>
      <c r="F2008" s="335" t="inlineStr">
        <is>
          <t>1040</t>
        </is>
      </c>
    </row>
    <row r="2009">
      <c r="D2009" s="335" t="inlineStr">
        <is>
          <t>1656</t>
        </is>
      </c>
      <c r="E2009" s="335" t="inlineStr">
        <is>
          <t>Kitale</t>
        </is>
      </c>
      <c r="F2009" s="335" t="inlineStr">
        <is>
          <t>1040</t>
        </is>
      </c>
    </row>
    <row r="2010">
      <c r="D2010" s="335" t="inlineStr">
        <is>
          <t>1648</t>
        </is>
      </c>
      <c r="E2010" s="335" t="inlineStr">
        <is>
          <t>Kitui</t>
        </is>
      </c>
      <c r="F2010" s="335" t="inlineStr">
        <is>
          <t>1040</t>
        </is>
      </c>
    </row>
    <row r="2011">
      <c r="D2011" s="335" t="inlineStr">
        <is>
          <t>1649</t>
        </is>
      </c>
      <c r="E2011" s="335" t="inlineStr">
        <is>
          <t>Machakos</t>
        </is>
      </c>
      <c r="F2011" s="335" t="inlineStr">
        <is>
          <t>1040</t>
        </is>
      </c>
    </row>
    <row r="2012">
      <c r="D2012" s="335" t="inlineStr">
        <is>
          <t>1634</t>
        </is>
      </c>
      <c r="E2012" s="335" t="inlineStr">
        <is>
          <t>Main Office</t>
        </is>
      </c>
      <c r="F2012" s="335" t="inlineStr">
        <is>
          <t>1040</t>
        </is>
      </c>
    </row>
    <row r="2013">
      <c r="D2013" s="335" t="inlineStr">
        <is>
          <t>1655</t>
        </is>
      </c>
      <c r="E2013" s="335" t="inlineStr">
        <is>
          <t>Meru</t>
        </is>
      </c>
      <c r="F2013" s="335" t="inlineStr">
        <is>
          <t>1040</t>
        </is>
      </c>
    </row>
    <row r="2014">
      <c r="D2014" s="335" t="inlineStr">
        <is>
          <t>2481</t>
        </is>
      </c>
      <c r="E2014" s="335" t="inlineStr">
        <is>
          <t>Mlolongo</t>
        </is>
      </c>
      <c r="F2014" s="335" t="inlineStr">
        <is>
          <t>1040</t>
        </is>
      </c>
    </row>
    <row r="2015">
      <c r="D2015" s="335" t="inlineStr">
        <is>
          <t>2438</t>
        </is>
      </c>
      <c r="E2015" s="335" t="inlineStr">
        <is>
          <t>Moi Nbi</t>
        </is>
      </c>
      <c r="F2015" s="335" t="inlineStr">
        <is>
          <t>1040</t>
        </is>
      </c>
    </row>
    <row r="2016">
      <c r="D2016" s="335" t="inlineStr">
        <is>
          <t>1635</t>
        </is>
      </c>
      <c r="E2016" s="335" t="inlineStr">
        <is>
          <t>Mombasa</t>
        </is>
      </c>
      <c r="F2016" s="335" t="inlineStr">
        <is>
          <t>1040</t>
        </is>
      </c>
    </row>
    <row r="2017">
      <c r="D2017" s="335" t="inlineStr">
        <is>
          <t>1660</t>
        </is>
      </c>
      <c r="E2017" s="335" t="inlineStr">
        <is>
          <t>Mtwapa</t>
        </is>
      </c>
      <c r="F2017" s="335" t="inlineStr">
        <is>
          <t>1040</t>
        </is>
      </c>
    </row>
    <row r="2018">
      <c r="D2018" s="335" t="inlineStr">
        <is>
          <t>1662</t>
        </is>
      </c>
      <c r="E2018" s="335" t="inlineStr">
        <is>
          <t>Mwea</t>
        </is>
      </c>
      <c r="F2018" s="335" t="inlineStr">
        <is>
          <t>1040</t>
        </is>
      </c>
    </row>
    <row r="2019">
      <c r="D2019" s="335" t="inlineStr">
        <is>
          <t>1652</t>
        </is>
      </c>
      <c r="E2019" s="335" t="inlineStr">
        <is>
          <t>Naivasha</t>
        </is>
      </c>
      <c r="F2019" s="335" t="inlineStr">
        <is>
          <t>1040</t>
        </is>
      </c>
    </row>
    <row r="2020">
      <c r="D2020" s="335" t="inlineStr">
        <is>
          <t>1637</t>
        </is>
      </c>
      <c r="E2020" s="335" t="inlineStr">
        <is>
          <t>Nakuru</t>
        </is>
      </c>
      <c r="F2020" s="335" t="inlineStr">
        <is>
          <t>1040</t>
        </is>
      </c>
    </row>
    <row r="2021">
      <c r="D2021" s="335" t="inlineStr">
        <is>
          <t>1650</t>
        </is>
      </c>
      <c r="E2021" s="335" t="inlineStr">
        <is>
          <t>Nanyuki</t>
        </is>
      </c>
      <c r="F2021" s="335" t="inlineStr">
        <is>
          <t>1040</t>
        </is>
      </c>
    </row>
    <row r="2022">
      <c r="D2022" s="335" t="inlineStr">
        <is>
          <t>2436</t>
        </is>
      </c>
      <c r="E2022" s="335" t="inlineStr">
        <is>
          <t>Nkubu</t>
        </is>
      </c>
      <c r="F2022" s="335" t="inlineStr">
        <is>
          <t>1040</t>
        </is>
      </c>
    </row>
    <row r="2023">
      <c r="D2023" s="335" t="inlineStr">
        <is>
          <t>1653</t>
        </is>
      </c>
      <c r="E2023" s="335" t="inlineStr">
        <is>
          <t>Nyahururu</t>
        </is>
      </c>
      <c r="F2023" s="335" t="inlineStr">
        <is>
          <t>1040</t>
        </is>
      </c>
    </row>
    <row r="2024">
      <c r="D2024" s="335" t="inlineStr">
        <is>
          <t>1638</t>
        </is>
      </c>
      <c r="E2024" s="335" t="inlineStr">
        <is>
          <t>Nyeri</t>
        </is>
      </c>
      <c r="F2024" s="335" t="inlineStr">
        <is>
          <t>1040</t>
        </is>
      </c>
    </row>
    <row r="2025">
      <c r="D2025" s="335" t="inlineStr">
        <is>
          <t>1645</t>
        </is>
      </c>
      <c r="E2025" s="335" t="inlineStr">
        <is>
          <t>Thika</t>
        </is>
      </c>
      <c r="F2025" s="335" t="inlineStr">
        <is>
          <t>1040</t>
        </is>
      </c>
    </row>
    <row r="2026">
      <c r="D2026" s="336" t="inlineStr">
        <is>
          <t>1799</t>
        </is>
      </c>
      <c r="E2026" s="336" t="inlineStr">
        <is>
          <t>Awendo</t>
        </is>
      </c>
      <c r="F2026" s="336" t="inlineStr">
        <is>
          <t>1041</t>
        </is>
      </c>
    </row>
    <row r="2027">
      <c r="D2027" s="336" t="inlineStr">
        <is>
          <t>1782</t>
        </is>
      </c>
      <c r="E2027" s="336" t="inlineStr">
        <is>
          <t>Bomet</t>
        </is>
      </c>
      <c r="F2027" s="336" t="inlineStr">
        <is>
          <t>1041</t>
        </is>
      </c>
    </row>
    <row r="2028">
      <c r="D2028" s="336" t="inlineStr">
        <is>
          <t>1735</t>
        </is>
      </c>
      <c r="E2028" s="336" t="inlineStr">
        <is>
          <t>Bondo</t>
        </is>
      </c>
      <c r="F2028" s="336" t="inlineStr">
        <is>
          <t>1041</t>
        </is>
      </c>
    </row>
    <row r="2029">
      <c r="D2029" s="336" t="inlineStr">
        <is>
          <t>1710</t>
        </is>
      </c>
      <c r="E2029" s="336" t="inlineStr">
        <is>
          <t>Bungoma</t>
        </is>
      </c>
      <c r="F2029" s="336" t="inlineStr">
        <is>
          <t>1041</t>
        </is>
      </c>
    </row>
    <row r="2030">
      <c r="D2030" s="336" t="inlineStr">
        <is>
          <t>1755</t>
        </is>
      </c>
      <c r="E2030" s="336" t="inlineStr">
        <is>
          <t>Buru Buru</t>
        </is>
      </c>
      <c r="F2030" s="336" t="inlineStr">
        <is>
          <t>1041</t>
        </is>
      </c>
    </row>
    <row r="2031">
      <c r="D2031" s="336" t="inlineStr">
        <is>
          <t>1738</t>
        </is>
      </c>
      <c r="E2031" s="336" t="inlineStr">
        <is>
          <t>Busia</t>
        </is>
      </c>
      <c r="F2031" s="336" t="inlineStr">
        <is>
          <t>1041</t>
        </is>
      </c>
    </row>
    <row r="2032">
      <c r="D2032" s="336" t="inlineStr">
        <is>
          <t>1780</t>
        </is>
      </c>
      <c r="E2032" s="336" t="inlineStr">
        <is>
          <t>Changamwe</t>
        </is>
      </c>
      <c r="F2032" s="336" t="inlineStr">
        <is>
          <t>1041</t>
        </is>
      </c>
    </row>
    <row r="2033">
      <c r="D2033" s="336" t="inlineStr">
        <is>
          <t>1686</t>
        </is>
      </c>
      <c r="E2033" s="336" t="inlineStr">
        <is>
          <t>Chuka</t>
        </is>
      </c>
      <c r="F2033" s="336" t="inlineStr">
        <is>
          <t>1041</t>
        </is>
      </c>
    </row>
    <row r="2034">
      <c r="D2034" s="336" t="inlineStr">
        <is>
          <t>1790</t>
        </is>
      </c>
      <c r="E2034" s="336" t="inlineStr">
        <is>
          <t>City Hall</t>
        </is>
      </c>
      <c r="F2034" s="336" t="inlineStr">
        <is>
          <t>1041</t>
        </is>
      </c>
    </row>
    <row r="2035">
      <c r="D2035" s="336" t="inlineStr">
        <is>
          <t>1682</t>
        </is>
      </c>
      <c r="E2035" s="336" t="inlineStr">
        <is>
          <t>Community</t>
        </is>
      </c>
      <c r="F2035" s="336" t="inlineStr">
        <is>
          <t>1041</t>
        </is>
      </c>
    </row>
    <row r="2036">
      <c r="D2036" s="336" t="inlineStr">
        <is>
          <t>1683</t>
        </is>
      </c>
      <c r="E2036" s="336" t="inlineStr">
        <is>
          <t>Community Corporate</t>
        </is>
      </c>
      <c r="F2036" s="336" t="inlineStr">
        <is>
          <t>1041</t>
        </is>
      </c>
    </row>
    <row r="2037">
      <c r="D2037" s="336" t="inlineStr">
        <is>
          <t>2275</t>
        </is>
      </c>
      <c r="E2037" s="336" t="inlineStr">
        <is>
          <t>Dadaad</t>
        </is>
      </c>
      <c r="F2037" s="336" t="inlineStr">
        <is>
          <t>1041</t>
        </is>
      </c>
    </row>
    <row r="2038">
      <c r="D2038" s="336" t="inlineStr">
        <is>
          <t>1742</t>
        </is>
      </c>
      <c r="E2038" s="336" t="inlineStr">
        <is>
          <t>Donholm</t>
        </is>
      </c>
      <c r="F2038" s="336" t="inlineStr">
        <is>
          <t>1041</t>
        </is>
      </c>
    </row>
    <row r="2039">
      <c r="D2039" s="336" t="inlineStr">
        <is>
          <t>1744</t>
        </is>
      </c>
      <c r="E2039" s="336" t="inlineStr">
        <is>
          <t>Eastleigh</t>
        </is>
      </c>
      <c r="F2039" s="336" t="inlineStr">
        <is>
          <t>1041</t>
        </is>
      </c>
    </row>
    <row r="2040">
      <c r="D2040" s="336" t="inlineStr">
        <is>
          <t>1791</t>
        </is>
      </c>
      <c r="E2040" s="336" t="inlineStr">
        <is>
          <t>Eldama Ravine</t>
        </is>
      </c>
      <c r="F2040" s="336" t="inlineStr">
        <is>
          <t>1041</t>
        </is>
      </c>
    </row>
    <row r="2041">
      <c r="D2041" s="336" t="inlineStr">
        <is>
          <t>2269</t>
        </is>
      </c>
      <c r="E2041" s="336" t="inlineStr">
        <is>
          <t>Eldoret</t>
        </is>
      </c>
      <c r="F2041" s="336" t="inlineStr">
        <is>
          <t>1041</t>
        </is>
      </c>
    </row>
    <row r="2042">
      <c r="D2042" s="336" t="inlineStr">
        <is>
          <t>1769</t>
        </is>
      </c>
      <c r="E2042" s="336" t="inlineStr">
        <is>
          <t>Eldoret Market</t>
        </is>
      </c>
      <c r="F2042" s="336" t="inlineStr">
        <is>
          <t>1041</t>
        </is>
      </c>
    </row>
    <row r="2043">
      <c r="D2043" s="336" t="inlineStr">
        <is>
          <t>1792</t>
        </is>
      </c>
      <c r="E2043" s="336" t="inlineStr">
        <is>
          <t>Embakasi</t>
        </is>
      </c>
      <c r="F2043" s="336" t="inlineStr">
        <is>
          <t>1041</t>
        </is>
      </c>
    </row>
    <row r="2044">
      <c r="D2044" s="336" t="inlineStr">
        <is>
          <t>1684</t>
        </is>
      </c>
      <c r="E2044" s="336" t="inlineStr">
        <is>
          <t>Embu</t>
        </is>
      </c>
      <c r="F2044" s="336" t="inlineStr">
        <is>
          <t>1041</t>
        </is>
      </c>
    </row>
    <row r="2045">
      <c r="D2045" s="336" t="inlineStr">
        <is>
          <t>1740</t>
        </is>
      </c>
      <c r="E2045" s="336" t="inlineStr">
        <is>
          <t>Enterprise Road</t>
        </is>
      </c>
      <c r="F2045" s="336" t="inlineStr">
        <is>
          <t>1041</t>
        </is>
      </c>
    </row>
    <row r="2046">
      <c r="D2046" s="336" t="inlineStr">
        <is>
          <t>1805</t>
        </is>
      </c>
      <c r="E2046" s="336" t="inlineStr">
        <is>
          <t>EPZ Athi River</t>
        </is>
      </c>
      <c r="F2046" s="336" t="inlineStr">
        <is>
          <t>1041</t>
        </is>
      </c>
    </row>
    <row r="2047">
      <c r="D2047" s="336" t="inlineStr">
        <is>
          <t>1666</t>
        </is>
      </c>
      <c r="E2047" s="336" t="inlineStr">
        <is>
          <t>Equity Bank Corporate</t>
        </is>
      </c>
      <c r="F2047" s="336" t="inlineStr">
        <is>
          <t>1041</t>
        </is>
      </c>
    </row>
    <row r="2048">
      <c r="D2048" s="336" t="inlineStr">
        <is>
          <t>1667</t>
        </is>
      </c>
      <c r="E2048" s="336" t="inlineStr">
        <is>
          <t>Equity Bank Fourways</t>
        </is>
      </c>
      <c r="F2048" s="336" t="inlineStr">
        <is>
          <t>1041</t>
        </is>
      </c>
    </row>
    <row r="2049">
      <c r="D2049" s="336" t="inlineStr">
        <is>
          <t>1665</t>
        </is>
      </c>
      <c r="E2049" s="336" t="inlineStr">
        <is>
          <t>Equity Bank Head Office</t>
        </is>
      </c>
      <c r="F2049" s="336" t="inlineStr">
        <is>
          <t>1041</t>
        </is>
      </c>
    </row>
    <row r="2050">
      <c r="D2050" s="336" t="inlineStr">
        <is>
          <t>1741</t>
        </is>
      </c>
      <c r="E2050" s="336" t="inlineStr">
        <is>
          <t>Equity Centre</t>
        </is>
      </c>
      <c r="F2050" s="336" t="inlineStr">
        <is>
          <t>1041</t>
        </is>
      </c>
    </row>
    <row r="2051">
      <c r="D2051" s="336" t="inlineStr">
        <is>
          <t>2273</t>
        </is>
      </c>
      <c r="E2051" s="336" t="inlineStr">
        <is>
          <t>Equity Centre Diaspora</t>
        </is>
      </c>
      <c r="F2051" s="336" t="inlineStr">
        <is>
          <t>1041</t>
        </is>
      </c>
    </row>
    <row r="2052">
      <c r="D2052" s="336" t="inlineStr">
        <is>
          <t>2281</t>
        </is>
      </c>
      <c r="E2052" s="336" t="inlineStr">
        <is>
          <t>Ewaso Nyiro</t>
        </is>
      </c>
      <c r="F2052" s="336" t="inlineStr">
        <is>
          <t>1041</t>
        </is>
      </c>
    </row>
    <row r="2053">
      <c r="D2053" s="336" t="inlineStr">
        <is>
          <t>1718</t>
        </is>
      </c>
      <c r="E2053" s="336" t="inlineStr">
        <is>
          <t>Garissa</t>
        </is>
      </c>
      <c r="F2053" s="336" t="inlineStr">
        <is>
          <t>1041</t>
        </is>
      </c>
    </row>
    <row r="2054">
      <c r="D2054" s="336" t="inlineStr">
        <is>
          <t>1726</t>
        </is>
      </c>
      <c r="E2054" s="336" t="inlineStr">
        <is>
          <t>Gatundu</t>
        </is>
      </c>
      <c r="F2054" s="336" t="inlineStr">
        <is>
          <t>1041</t>
        </is>
      </c>
    </row>
    <row r="2055">
      <c r="D2055" s="336" t="inlineStr">
        <is>
          <t>1705</t>
        </is>
      </c>
      <c r="E2055" s="336" t="inlineStr">
        <is>
          <t>Gikomba</t>
        </is>
      </c>
      <c r="F2055" s="336" t="inlineStr">
        <is>
          <t>1041</t>
        </is>
      </c>
    </row>
    <row r="2056">
      <c r="D2056" s="336" t="inlineStr">
        <is>
          <t>1737</t>
        </is>
      </c>
      <c r="E2056" s="336" t="inlineStr">
        <is>
          <t>Gilgil</t>
        </is>
      </c>
      <c r="F2056" s="336" t="inlineStr">
        <is>
          <t>1041</t>
        </is>
      </c>
    </row>
    <row r="2057">
      <c r="D2057" s="336" t="inlineStr">
        <is>
          <t>1753</t>
        </is>
      </c>
      <c r="E2057" s="336" t="inlineStr">
        <is>
          <t>Githunguri</t>
        </is>
      </c>
      <c r="F2057" s="336" t="inlineStr">
        <is>
          <t>1041</t>
        </is>
      </c>
    </row>
    <row r="2058">
      <c r="D2058" s="336" t="inlineStr">
        <is>
          <t>1731</t>
        </is>
      </c>
      <c r="E2058" s="336" t="inlineStr">
        <is>
          <t>Githurai</t>
        </is>
      </c>
      <c r="F2058" s="336" t="inlineStr">
        <is>
          <t>1041</t>
        </is>
      </c>
    </row>
    <row r="2059">
      <c r="D2059" s="336" t="inlineStr">
        <is>
          <t>1689</t>
        </is>
      </c>
      <c r="E2059" s="336" t="inlineStr">
        <is>
          <t>Harambee Avenu</t>
        </is>
      </c>
      <c r="F2059" s="336" t="inlineStr">
        <is>
          <t>1041</t>
        </is>
      </c>
    </row>
    <row r="2060">
      <c r="D2060" s="336" t="inlineStr">
        <is>
          <t>1781</t>
        </is>
      </c>
      <c r="E2060" s="336" t="inlineStr">
        <is>
          <t>Hola</t>
        </is>
      </c>
      <c r="F2060" s="336" t="inlineStr">
        <is>
          <t>1041</t>
        </is>
      </c>
    </row>
    <row r="2061">
      <c r="D2061" s="336" t="inlineStr">
        <is>
          <t>1758</t>
        </is>
      </c>
      <c r="E2061" s="336" t="inlineStr">
        <is>
          <t>Homa Bay</t>
        </is>
      </c>
      <c r="F2061" s="336" t="inlineStr">
        <is>
          <t>1041</t>
        </is>
      </c>
    </row>
    <row r="2062">
      <c r="D2062" s="336" t="inlineStr">
        <is>
          <t>1716</t>
        </is>
      </c>
      <c r="E2062" s="336" t="inlineStr">
        <is>
          <t>Industrial Area Kenpipe Plaza</t>
        </is>
      </c>
      <c r="F2062" s="336" t="inlineStr">
        <is>
          <t>1041</t>
        </is>
      </c>
    </row>
    <row r="2063">
      <c r="D2063" s="336" t="inlineStr">
        <is>
          <t>1703</t>
        </is>
      </c>
      <c r="E2063" s="336" t="inlineStr">
        <is>
          <t>Isiolo</t>
        </is>
      </c>
      <c r="F2063" s="336" t="inlineStr">
        <is>
          <t>1041</t>
        </is>
      </c>
    </row>
    <row r="2064">
      <c r="D2064" s="336" t="inlineStr">
        <is>
          <t>2280</t>
        </is>
      </c>
      <c r="E2064" s="336" t="inlineStr">
        <is>
          <t>Iten</t>
        </is>
      </c>
      <c r="F2064" s="336" t="inlineStr">
        <is>
          <t>1041</t>
        </is>
      </c>
    </row>
    <row r="2065">
      <c r="D2065" s="336" t="inlineStr">
        <is>
          <t>1804</t>
        </is>
      </c>
      <c r="E2065" s="336" t="inlineStr">
        <is>
          <t>JKIA Cargo Centre</t>
        </is>
      </c>
      <c r="F2065" s="336" t="inlineStr">
        <is>
          <t>1041</t>
        </is>
      </c>
    </row>
    <row r="2066">
      <c r="D2066" s="336" t="inlineStr">
        <is>
          <t>2279</t>
        </is>
      </c>
      <c r="E2066" s="336" t="inlineStr">
        <is>
          <t>Juja</t>
        </is>
      </c>
      <c r="F2066" s="336" t="inlineStr">
        <is>
          <t>1041</t>
        </is>
      </c>
    </row>
    <row r="2067">
      <c r="D2067" s="336" t="inlineStr">
        <is>
          <t>1795</t>
        </is>
      </c>
      <c r="E2067" s="336" t="inlineStr">
        <is>
          <t>Kabarnet</t>
        </is>
      </c>
      <c r="F2067" s="336" t="inlineStr">
        <is>
          <t>1041</t>
        </is>
      </c>
    </row>
    <row r="2068">
      <c r="D2068" s="336" t="inlineStr">
        <is>
          <t>1704</t>
        </is>
      </c>
      <c r="E2068" s="336" t="inlineStr">
        <is>
          <t>Kagio</t>
        </is>
      </c>
      <c r="F2068" s="336" t="inlineStr">
        <is>
          <t>1041</t>
        </is>
      </c>
    </row>
    <row r="2069">
      <c r="D2069" s="336" t="inlineStr">
        <is>
          <t>1746</t>
        </is>
      </c>
      <c r="E2069" s="336" t="inlineStr">
        <is>
          <t>Kajiado</t>
        </is>
      </c>
      <c r="F2069" s="336" t="inlineStr">
        <is>
          <t>1041</t>
        </is>
      </c>
    </row>
    <row r="2070">
      <c r="D2070" s="336" t="inlineStr">
        <is>
          <t>1712</t>
        </is>
      </c>
      <c r="E2070" s="336" t="inlineStr">
        <is>
          <t>Kakamega</t>
        </is>
      </c>
      <c r="F2070" s="336" t="inlineStr">
        <is>
          <t>1041</t>
        </is>
      </c>
    </row>
    <row r="2071">
      <c r="D2071" s="336" t="inlineStr">
        <is>
          <t>1672</t>
        </is>
      </c>
      <c r="E2071" s="336" t="inlineStr">
        <is>
          <t>Kangari</t>
        </is>
      </c>
      <c r="F2071" s="336" t="inlineStr">
        <is>
          <t>1041</t>
        </is>
      </c>
    </row>
    <row r="2072">
      <c r="D2072" s="336" t="inlineStr">
        <is>
          <t>1668</t>
        </is>
      </c>
      <c r="E2072" s="336" t="inlineStr">
        <is>
          <t>Kangema</t>
        </is>
      </c>
      <c r="F2072" s="336" t="inlineStr">
        <is>
          <t>1041</t>
        </is>
      </c>
    </row>
    <row r="2073">
      <c r="D2073" s="336" t="inlineStr">
        <is>
          <t>2276</t>
        </is>
      </c>
      <c r="E2073" s="336" t="inlineStr">
        <is>
          <t>Kangemi</t>
        </is>
      </c>
      <c r="F2073" s="336" t="inlineStr">
        <is>
          <t>1041</t>
        </is>
      </c>
    </row>
    <row r="2074">
      <c r="D2074" s="336" t="inlineStr">
        <is>
          <t>1767</t>
        </is>
      </c>
      <c r="E2074" s="336" t="inlineStr">
        <is>
          <t>Kapenguria</t>
        </is>
      </c>
      <c r="F2074" s="336" t="inlineStr">
        <is>
          <t>1041</t>
        </is>
      </c>
    </row>
    <row r="2075">
      <c r="D2075" s="336" t="inlineStr">
        <is>
          <t>1711</t>
        </is>
      </c>
      <c r="E2075" s="336" t="inlineStr">
        <is>
          <t>Kapsabet</t>
        </is>
      </c>
      <c r="F2075" s="336" t="inlineStr">
        <is>
          <t>1041</t>
        </is>
      </c>
    </row>
    <row r="2076">
      <c r="D2076" s="336" t="inlineStr">
        <is>
          <t>2503</t>
        </is>
      </c>
      <c r="E2076" s="336" t="inlineStr">
        <is>
          <t>Kapsowar Sub-branch</t>
        </is>
      </c>
      <c r="F2076" s="336" t="inlineStr">
        <is>
          <t>1041</t>
        </is>
      </c>
    </row>
    <row r="2077">
      <c r="D2077" s="336" t="inlineStr">
        <is>
          <t>1669</t>
        </is>
      </c>
      <c r="E2077" s="336" t="inlineStr">
        <is>
          <t>Karatina</t>
        </is>
      </c>
      <c r="F2077" s="336" t="inlineStr">
        <is>
          <t>1041</t>
        </is>
      </c>
    </row>
    <row r="2078">
      <c r="D2078" s="336" t="inlineStr">
        <is>
          <t>1785</t>
        </is>
      </c>
      <c r="E2078" s="336" t="inlineStr">
        <is>
          <t>KAREN</t>
        </is>
      </c>
      <c r="F2078" s="336" t="inlineStr">
        <is>
          <t>1041</t>
        </is>
      </c>
    </row>
    <row r="2079">
      <c r="D2079" s="336" t="inlineStr">
        <is>
          <t>1696</t>
        </is>
      </c>
      <c r="E2079" s="336" t="inlineStr">
        <is>
          <t>Kariobangi</t>
        </is>
      </c>
      <c r="F2079" s="336" t="inlineStr">
        <is>
          <t>1041</t>
        </is>
      </c>
    </row>
    <row r="2080">
      <c r="D2080" s="336" t="inlineStr">
        <is>
          <t>1778</t>
        </is>
      </c>
      <c r="E2080" s="336" t="inlineStr">
        <is>
          <t>Kasarani</t>
        </is>
      </c>
      <c r="F2080" s="336" t="inlineStr">
        <is>
          <t>1041</t>
        </is>
      </c>
    </row>
    <row r="2081">
      <c r="D2081" s="336" t="inlineStr">
        <is>
          <t>1723</t>
        </is>
      </c>
      <c r="E2081" s="336" t="inlineStr">
        <is>
          <t>Kawangware</t>
        </is>
      </c>
      <c r="F2081" s="336" t="inlineStr">
        <is>
          <t>1041</t>
        </is>
      </c>
    </row>
    <row r="2082">
      <c r="D2082" s="336" t="inlineStr">
        <is>
          <t>1725</t>
        </is>
      </c>
      <c r="E2082" s="336" t="inlineStr">
        <is>
          <t>Kayole</t>
        </is>
      </c>
      <c r="F2082" s="336" t="inlineStr">
        <is>
          <t>1041</t>
        </is>
      </c>
    </row>
    <row r="2083">
      <c r="D2083" s="336" t="inlineStr">
        <is>
          <t>1774</t>
        </is>
      </c>
      <c r="E2083" s="336" t="inlineStr">
        <is>
          <t>Kengeleni</t>
        </is>
      </c>
      <c r="F2083" s="336" t="inlineStr">
        <is>
          <t>1041</t>
        </is>
      </c>
    </row>
    <row r="2084">
      <c r="D2084" s="336" t="inlineStr">
        <is>
          <t>1749</t>
        </is>
      </c>
      <c r="E2084" s="336" t="inlineStr">
        <is>
          <t>Kenol</t>
        </is>
      </c>
      <c r="F2084" s="336" t="inlineStr">
        <is>
          <t>1041</t>
        </is>
      </c>
    </row>
    <row r="2085">
      <c r="D2085" s="336" t="inlineStr">
        <is>
          <t>1789</t>
        </is>
      </c>
      <c r="E2085" s="336" t="inlineStr">
        <is>
          <t>KENYATTA AVENUE</t>
        </is>
      </c>
      <c r="F2085" s="336" t="inlineStr">
        <is>
          <t>1041</t>
        </is>
      </c>
    </row>
    <row r="2086">
      <c r="D2086" s="336" t="inlineStr">
        <is>
          <t>2506</t>
        </is>
      </c>
      <c r="E2086" s="336" t="inlineStr">
        <is>
          <t>Kenyatta Avenue Supreme</t>
        </is>
      </c>
      <c r="F2086" s="336" t="inlineStr">
        <is>
          <t>1041</t>
        </is>
      </c>
    </row>
    <row r="2087">
      <c r="D2087" s="336" t="inlineStr">
        <is>
          <t>1693</t>
        </is>
      </c>
      <c r="E2087" s="336" t="inlineStr">
        <is>
          <t>Kericho</t>
        </is>
      </c>
      <c r="F2087" s="336" t="inlineStr">
        <is>
          <t>1041</t>
        </is>
      </c>
    </row>
    <row r="2088">
      <c r="D2088" s="336" t="inlineStr">
        <is>
          <t>1784</t>
        </is>
      </c>
      <c r="E2088" s="336" t="inlineStr">
        <is>
          <t>Keroka</t>
        </is>
      </c>
      <c r="F2088" s="336" t="inlineStr">
        <is>
          <t>1041</t>
        </is>
      </c>
    </row>
    <row r="2089">
      <c r="D2089" s="336" t="inlineStr">
        <is>
          <t>1675</t>
        </is>
      </c>
      <c r="E2089" s="336" t="inlineStr">
        <is>
          <t>Kerugoya</t>
        </is>
      </c>
      <c r="F2089" s="336" t="inlineStr">
        <is>
          <t>1041</t>
        </is>
      </c>
    </row>
    <row r="2090">
      <c r="D2090" s="336" t="inlineStr">
        <is>
          <t>1724</t>
        </is>
      </c>
      <c r="E2090" s="336" t="inlineStr">
        <is>
          <t>Kiambu</t>
        </is>
      </c>
      <c r="F2090" s="336" t="inlineStr">
        <is>
          <t>1041</t>
        </is>
      </c>
    </row>
    <row r="2091">
      <c r="D2091" s="336" t="inlineStr">
        <is>
          <t>1777</t>
        </is>
      </c>
      <c r="E2091" s="336" t="inlineStr">
        <is>
          <t>Kibera</t>
        </is>
      </c>
      <c r="F2091" s="336" t="inlineStr">
        <is>
          <t>1041</t>
        </is>
      </c>
    </row>
    <row r="2092">
      <c r="D2092" s="336" t="inlineStr">
        <is>
          <t>1717</t>
        </is>
      </c>
      <c r="E2092" s="336" t="inlineStr">
        <is>
          <t>Kikuyu</t>
        </is>
      </c>
      <c r="F2092" s="336" t="inlineStr">
        <is>
          <t>1041</t>
        </is>
      </c>
    </row>
    <row r="2093">
      <c r="D2093" s="336" t="inlineStr">
        <is>
          <t>1783</t>
        </is>
      </c>
      <c r="E2093" s="336" t="inlineStr">
        <is>
          <t>Kilgoris</t>
        </is>
      </c>
      <c r="F2093" s="336" t="inlineStr">
        <is>
          <t>1041</t>
        </is>
      </c>
    </row>
    <row r="2094">
      <c r="D2094" s="336" t="inlineStr">
        <is>
          <t>1766</t>
        </is>
      </c>
      <c r="E2094" s="336" t="inlineStr">
        <is>
          <t>Kilifi</t>
        </is>
      </c>
      <c r="F2094" s="336" t="inlineStr">
        <is>
          <t>1041</t>
        </is>
      </c>
    </row>
    <row r="2095">
      <c r="D2095" s="336" t="inlineStr">
        <is>
          <t>1801</t>
        </is>
      </c>
      <c r="E2095" s="336" t="inlineStr">
        <is>
          <t>Kilimani</t>
        </is>
      </c>
      <c r="F2095" s="336" t="inlineStr">
        <is>
          <t>1041</t>
        </is>
      </c>
    </row>
    <row r="2096">
      <c r="D2096" s="336" t="inlineStr">
        <is>
          <t>1803</t>
        </is>
      </c>
      <c r="E2096" s="336" t="inlineStr">
        <is>
          <t>Kilimani Supreme</t>
        </is>
      </c>
      <c r="F2096" s="336" t="inlineStr">
        <is>
          <t>1041</t>
        </is>
      </c>
    </row>
    <row r="2097">
      <c r="D2097" s="336" t="inlineStr">
        <is>
          <t>1691</t>
        </is>
      </c>
      <c r="E2097" s="336" t="inlineStr">
        <is>
          <t>Kimathi Street</t>
        </is>
      </c>
      <c r="F2097" s="336" t="inlineStr">
        <is>
          <t>1041</t>
        </is>
      </c>
    </row>
    <row r="2098">
      <c r="D2098" s="336" t="inlineStr">
        <is>
          <t>1771</t>
        </is>
      </c>
      <c r="E2098" s="336" t="inlineStr">
        <is>
          <t>Kimende</t>
        </is>
      </c>
      <c r="F2098" s="336" t="inlineStr">
        <is>
          <t>1041</t>
        </is>
      </c>
    </row>
    <row r="2099">
      <c r="D2099" s="336" t="inlineStr">
        <is>
          <t>1670</t>
        </is>
      </c>
      <c r="E2099" s="336" t="inlineStr">
        <is>
          <t>Kiriaini</t>
        </is>
      </c>
      <c r="F2099" s="336" t="inlineStr">
        <is>
          <t>1041</t>
        </is>
      </c>
    </row>
    <row r="2100">
      <c r="D2100" s="336" t="inlineStr">
        <is>
          <t>1713</t>
        </is>
      </c>
      <c r="E2100" s="336" t="inlineStr">
        <is>
          <t>Kisii</t>
        </is>
      </c>
      <c r="F2100" s="336" t="inlineStr">
        <is>
          <t>1041</t>
        </is>
      </c>
    </row>
    <row r="2101">
      <c r="D2101" s="336" t="inlineStr">
        <is>
          <t>1694</t>
        </is>
      </c>
      <c r="E2101" s="336" t="inlineStr">
        <is>
          <t>Kisumu</t>
        </is>
      </c>
      <c r="F2101" s="336" t="inlineStr">
        <is>
          <t>1041</t>
        </is>
      </c>
    </row>
    <row r="2102">
      <c r="D2102" s="336" t="inlineStr">
        <is>
          <t>1786</t>
        </is>
      </c>
      <c r="E2102" s="336" t="inlineStr">
        <is>
          <t>KISUMU ANGAWA AVE</t>
        </is>
      </c>
      <c r="F2102" s="336" t="inlineStr">
        <is>
          <t>1041</t>
        </is>
      </c>
    </row>
    <row r="2103">
      <c r="D2103" s="336" t="inlineStr">
        <is>
          <t>1697</t>
        </is>
      </c>
      <c r="E2103" s="336" t="inlineStr">
        <is>
          <t>Kitale</t>
        </is>
      </c>
      <c r="F2103" s="336" t="inlineStr">
        <is>
          <t>1041</t>
        </is>
      </c>
    </row>
    <row r="2104">
      <c r="D2104" s="336" t="inlineStr">
        <is>
          <t>1730</t>
        </is>
      </c>
      <c r="E2104" s="336" t="inlineStr">
        <is>
          <t>Kitengela</t>
        </is>
      </c>
      <c r="F2104" s="336" t="inlineStr">
        <is>
          <t>1041</t>
        </is>
      </c>
    </row>
    <row r="2105">
      <c r="D2105" s="336" t="inlineStr">
        <is>
          <t>1732</t>
        </is>
      </c>
      <c r="E2105" s="336" t="inlineStr">
        <is>
          <t>Kitui</t>
        </is>
      </c>
      <c r="F2105" s="336" t="inlineStr">
        <is>
          <t>1041</t>
        </is>
      </c>
    </row>
    <row r="2106">
      <c r="D2106" s="336" t="inlineStr">
        <is>
          <t>1698</t>
        </is>
      </c>
      <c r="E2106" s="336" t="inlineStr">
        <is>
          <t>Knut House</t>
        </is>
      </c>
      <c r="F2106" s="336" t="inlineStr">
        <is>
          <t>1041</t>
        </is>
      </c>
    </row>
    <row r="2107">
      <c r="D2107" s="336" t="inlineStr">
        <is>
          <t>2616</t>
        </is>
      </c>
      <c r="E2107" s="336" t="inlineStr">
        <is>
          <t>KPA Branch</t>
        </is>
      </c>
      <c r="F2107" s="336" t="inlineStr">
        <is>
          <t>1041</t>
        </is>
      </c>
    </row>
    <row r="2108">
      <c r="D2108" s="336" t="inlineStr">
        <is>
          <t>1793</t>
        </is>
      </c>
      <c r="E2108" s="336" t="inlineStr">
        <is>
          <t>KPCU</t>
        </is>
      </c>
      <c r="F2108" s="336" t="inlineStr">
        <is>
          <t>1041</t>
        </is>
      </c>
    </row>
    <row r="2109">
      <c r="D2109" s="336" t="inlineStr">
        <is>
          <t>1773</t>
        </is>
      </c>
      <c r="E2109" s="336" t="inlineStr">
        <is>
          <t>Ku Sub Branch</t>
        </is>
      </c>
      <c r="F2109" s="336" t="inlineStr">
        <is>
          <t>1041</t>
        </is>
      </c>
    </row>
    <row r="2110">
      <c r="D2110" s="336" t="inlineStr">
        <is>
          <t>2504</t>
        </is>
      </c>
      <c r="E2110" s="336" t="inlineStr">
        <is>
          <t>Kwale</t>
        </is>
      </c>
      <c r="F2110" s="336" t="inlineStr">
        <is>
          <t>1041</t>
        </is>
      </c>
    </row>
    <row r="2111">
      <c r="D2111" s="336" t="inlineStr">
        <is>
          <t>2505</t>
        </is>
      </c>
      <c r="E2111" s="336" t="inlineStr">
        <is>
          <t>Lamu</t>
        </is>
      </c>
      <c r="F2111" s="336" t="inlineStr">
        <is>
          <t>1041</t>
        </is>
      </c>
    </row>
    <row r="2112">
      <c r="D2112" s="336" t="inlineStr">
        <is>
          <t>1797</t>
        </is>
      </c>
      <c r="E2112" s="336" t="inlineStr">
        <is>
          <t>Lavington Corporate</t>
        </is>
      </c>
      <c r="F2112" s="336" t="inlineStr">
        <is>
          <t>1041</t>
        </is>
      </c>
    </row>
    <row r="2113">
      <c r="D2113" s="336" t="inlineStr">
        <is>
          <t>1729</t>
        </is>
      </c>
      <c r="E2113" s="336" t="inlineStr">
        <is>
          <t>Limuru</t>
        </is>
      </c>
      <c r="F2113" s="336" t="inlineStr">
        <is>
          <t>1041</t>
        </is>
      </c>
    </row>
    <row r="2114">
      <c r="D2114" s="336" t="inlineStr">
        <is>
          <t>2272</t>
        </is>
      </c>
      <c r="E2114" s="336" t="inlineStr">
        <is>
          <t>Litein</t>
        </is>
      </c>
      <c r="F2114" s="336" t="inlineStr">
        <is>
          <t>1041</t>
        </is>
      </c>
    </row>
    <row r="2115">
      <c r="D2115" s="336" t="inlineStr">
        <is>
          <t>1759</t>
        </is>
      </c>
      <c r="E2115" s="336" t="inlineStr">
        <is>
          <t>Lodwar</t>
        </is>
      </c>
      <c r="F2115" s="336" t="inlineStr">
        <is>
          <t>1041</t>
        </is>
      </c>
    </row>
    <row r="2116">
      <c r="D2116" s="336" t="inlineStr">
        <is>
          <t>1734</t>
        </is>
      </c>
      <c r="E2116" s="336" t="inlineStr">
        <is>
          <t>Loitoktok</t>
        </is>
      </c>
      <c r="F2116" s="336" t="inlineStr">
        <is>
          <t>1041</t>
        </is>
      </c>
    </row>
    <row r="2117">
      <c r="D2117" s="336" t="inlineStr">
        <is>
          <t>1772</t>
        </is>
      </c>
      <c r="E2117" s="336" t="inlineStr">
        <is>
          <t>Luanda</t>
        </is>
      </c>
      <c r="F2117" s="336" t="inlineStr">
        <is>
          <t>1041</t>
        </is>
      </c>
    </row>
    <row r="2118">
      <c r="D2118" s="336" t="inlineStr">
        <is>
          <t>1720</t>
        </is>
      </c>
      <c r="E2118" s="336" t="inlineStr">
        <is>
          <t>Machakos</t>
        </is>
      </c>
      <c r="F2118" s="336" t="inlineStr">
        <is>
          <t>1041</t>
        </is>
      </c>
    </row>
    <row r="2119">
      <c r="D2119" s="336" t="inlineStr">
        <is>
          <t>1765</t>
        </is>
      </c>
      <c r="E2119" s="336" t="inlineStr">
        <is>
          <t>Malaba Town</t>
        </is>
      </c>
      <c r="F2119" s="336" t="inlineStr">
        <is>
          <t>1041</t>
        </is>
      </c>
    </row>
    <row r="2120">
      <c r="D2120" s="336" t="inlineStr">
        <is>
          <t>1707</t>
        </is>
      </c>
      <c r="E2120" s="336" t="inlineStr">
        <is>
          <t>Malindi</t>
        </is>
      </c>
      <c r="F2120" s="336" t="inlineStr">
        <is>
          <t>1041</t>
        </is>
      </c>
    </row>
    <row r="2121">
      <c r="D2121" s="336" t="inlineStr">
        <is>
          <t>1680</t>
        </is>
      </c>
      <c r="E2121" s="336" t="inlineStr">
        <is>
          <t>Mama Ngina</t>
        </is>
      </c>
      <c r="F2121" s="336" t="inlineStr">
        <is>
          <t>1041</t>
        </is>
      </c>
    </row>
    <row r="2122">
      <c r="D2122" s="336" t="inlineStr">
        <is>
          <t>1760</t>
        </is>
      </c>
      <c r="E2122" s="336" t="inlineStr">
        <is>
          <t>Mandera</t>
        </is>
      </c>
      <c r="F2122" s="336" t="inlineStr">
        <is>
          <t>1041</t>
        </is>
      </c>
    </row>
    <row r="2123">
      <c r="D2123" s="336" t="inlineStr">
        <is>
          <t>1770</t>
        </is>
      </c>
      <c r="E2123" s="336" t="inlineStr">
        <is>
          <t>Maralal</t>
        </is>
      </c>
      <c r="F2123" s="336" t="inlineStr">
        <is>
          <t>1041</t>
        </is>
      </c>
    </row>
    <row r="2124">
      <c r="D2124" s="336" t="inlineStr">
        <is>
          <t>1761</t>
        </is>
      </c>
      <c r="E2124" s="336" t="inlineStr">
        <is>
          <t>Marsabit</t>
        </is>
      </c>
      <c r="F2124" s="336" t="inlineStr">
        <is>
          <t>1041</t>
        </is>
      </c>
    </row>
    <row r="2125">
      <c r="D2125" s="336" t="inlineStr">
        <is>
          <t>1702</t>
        </is>
      </c>
      <c r="E2125" s="336" t="inlineStr">
        <is>
          <t>Matuu</t>
        </is>
      </c>
      <c r="F2125" s="336" t="inlineStr">
        <is>
          <t>1041</t>
        </is>
      </c>
    </row>
    <row r="2126">
      <c r="D2126" s="336" t="inlineStr">
        <is>
          <t>2271</t>
        </is>
      </c>
      <c r="E2126" s="336" t="inlineStr">
        <is>
          <t>Maua</t>
        </is>
      </c>
      <c r="F2126" s="336" t="inlineStr">
        <is>
          <t>1041</t>
        </is>
      </c>
    </row>
    <row r="2127">
      <c r="D2127" s="336" t="inlineStr">
        <is>
          <t>2278</t>
        </is>
      </c>
      <c r="E2127" s="336" t="inlineStr">
        <is>
          <t>Mayfair Supreme Centre</t>
        </is>
      </c>
      <c r="F2127" s="336" t="inlineStr">
        <is>
          <t>1041</t>
        </is>
      </c>
    </row>
    <row r="2128">
      <c r="D2128" s="336" t="inlineStr">
        <is>
          <t>1756</t>
        </is>
      </c>
      <c r="E2128" s="336" t="inlineStr">
        <is>
          <t>Mbale</t>
        </is>
      </c>
      <c r="F2128" s="336" t="inlineStr">
        <is>
          <t>1041</t>
        </is>
      </c>
    </row>
    <row r="2129">
      <c r="D2129" s="336" t="inlineStr">
        <is>
          <t>1736</t>
        </is>
      </c>
      <c r="E2129" s="336" t="inlineStr">
        <is>
          <t>Mbita</t>
        </is>
      </c>
      <c r="F2129" s="336" t="inlineStr">
        <is>
          <t>1041</t>
        </is>
      </c>
    </row>
    <row r="2130">
      <c r="D2130" s="336" t="inlineStr">
        <is>
          <t>1679</t>
        </is>
      </c>
      <c r="E2130" s="336" t="inlineStr">
        <is>
          <t>Meru</t>
        </is>
      </c>
      <c r="F2130" s="336" t="inlineStr">
        <is>
          <t>1041</t>
        </is>
      </c>
    </row>
    <row r="2131">
      <c r="D2131" s="336" t="inlineStr">
        <is>
          <t>1764</t>
        </is>
      </c>
      <c r="E2131" s="336" t="inlineStr">
        <is>
          <t>Meru Makutano</t>
        </is>
      </c>
      <c r="F2131" s="336" t="inlineStr">
        <is>
          <t>1041</t>
        </is>
      </c>
    </row>
    <row r="2132">
      <c r="D2132" s="336" t="inlineStr">
        <is>
          <t>1776</t>
        </is>
      </c>
      <c r="E2132" s="336" t="inlineStr">
        <is>
          <t>Migori</t>
        </is>
      </c>
      <c r="F2132" s="336" t="inlineStr">
        <is>
          <t>1041</t>
        </is>
      </c>
    </row>
    <row r="2133">
      <c r="D2133" s="336" t="inlineStr">
        <is>
          <t>1709</t>
        </is>
      </c>
      <c r="E2133" s="336" t="inlineStr">
        <is>
          <t>Moi Avenue</t>
        </is>
      </c>
      <c r="F2133" s="336" t="inlineStr">
        <is>
          <t>1041</t>
        </is>
      </c>
    </row>
    <row r="2134">
      <c r="D2134" s="336" t="inlineStr">
        <is>
          <t>1688</t>
        </is>
      </c>
      <c r="E2134" s="336" t="inlineStr">
        <is>
          <t>Molo</t>
        </is>
      </c>
      <c r="F2134" s="336" t="inlineStr">
        <is>
          <t>1041</t>
        </is>
      </c>
    </row>
    <row r="2135">
      <c r="D2135" s="336" t="inlineStr">
        <is>
          <t>1690</t>
        </is>
      </c>
      <c r="E2135" s="336" t="inlineStr">
        <is>
          <t>Mombasa</t>
        </is>
      </c>
      <c r="F2135" s="336" t="inlineStr">
        <is>
          <t>1041</t>
        </is>
      </c>
    </row>
    <row r="2136">
      <c r="D2136" s="336" t="inlineStr">
        <is>
          <t>1708</t>
        </is>
      </c>
      <c r="E2136" s="336" t="inlineStr">
        <is>
          <t>Mombasa Digo Road</t>
        </is>
      </c>
      <c r="F2136" s="336" t="inlineStr">
        <is>
          <t>1041</t>
        </is>
      </c>
    </row>
    <row r="2137">
      <c r="D2137" s="336" t="inlineStr">
        <is>
          <t>1768</t>
        </is>
      </c>
      <c r="E2137" s="336" t="inlineStr">
        <is>
          <t>Mombasa Road</t>
        </is>
      </c>
      <c r="F2137" s="336" t="inlineStr">
        <is>
          <t>1041</t>
        </is>
      </c>
    </row>
    <row r="2138">
      <c r="D2138" s="336" t="inlineStr">
        <is>
          <t>2283</t>
        </is>
      </c>
      <c r="E2138" s="336" t="inlineStr">
        <is>
          <t>Mombasa Supreme Centre</t>
        </is>
      </c>
      <c r="F2138" s="336" t="inlineStr">
        <is>
          <t>1041</t>
        </is>
      </c>
    </row>
    <row r="2139">
      <c r="D2139" s="336" t="inlineStr">
        <is>
          <t>1762</t>
        </is>
      </c>
      <c r="E2139" s="336" t="inlineStr">
        <is>
          <t>Moyale</t>
        </is>
      </c>
      <c r="F2139" s="336" t="inlineStr">
        <is>
          <t>1041</t>
        </is>
      </c>
    </row>
    <row r="2140">
      <c r="D2140" s="336" t="inlineStr">
        <is>
          <t>1787</t>
        </is>
      </c>
      <c r="E2140" s="336" t="inlineStr">
        <is>
          <t>MPEKETONI</t>
        </is>
      </c>
      <c r="F2140" s="336" t="inlineStr">
        <is>
          <t>1041</t>
        </is>
      </c>
    </row>
    <row r="2141">
      <c r="D2141" s="336" t="inlineStr">
        <is>
          <t>1779</t>
        </is>
      </c>
      <c r="E2141" s="336" t="inlineStr">
        <is>
          <t>Mtwapa</t>
        </is>
      </c>
      <c r="F2141" s="336" t="inlineStr">
        <is>
          <t>1041</t>
        </is>
      </c>
    </row>
    <row r="2142">
      <c r="D2142" s="336" t="inlineStr">
        <is>
          <t>1743</t>
        </is>
      </c>
      <c r="E2142" s="336" t="inlineStr">
        <is>
          <t>Mukurwe-ini</t>
        </is>
      </c>
      <c r="F2142" s="336" t="inlineStr">
        <is>
          <t>1041</t>
        </is>
      </c>
    </row>
    <row r="2143">
      <c r="D2143" s="336" t="inlineStr">
        <is>
          <t>1728</t>
        </is>
      </c>
      <c r="E2143" s="336" t="inlineStr">
        <is>
          <t>Mumias</t>
        </is>
      </c>
      <c r="F2143" s="336" t="inlineStr">
        <is>
          <t>1041</t>
        </is>
      </c>
    </row>
    <row r="2144">
      <c r="D2144" s="336" t="inlineStr">
        <is>
          <t>1687</t>
        </is>
      </c>
      <c r="E2144" s="336" t="inlineStr">
        <is>
          <t>Muranga</t>
        </is>
      </c>
      <c r="F2144" s="336" t="inlineStr">
        <is>
          <t>1041</t>
        </is>
      </c>
    </row>
    <row r="2145">
      <c r="D2145" s="336" t="inlineStr">
        <is>
          <t>1671</t>
        </is>
      </c>
      <c r="E2145" s="336" t="inlineStr">
        <is>
          <t>Murarandia</t>
        </is>
      </c>
      <c r="F2145" s="336" t="inlineStr">
        <is>
          <t>1041</t>
        </is>
      </c>
    </row>
    <row r="2146">
      <c r="D2146" s="336" t="inlineStr">
        <is>
          <t>1701</t>
        </is>
      </c>
      <c r="E2146" s="336" t="inlineStr">
        <is>
          <t>Mwea</t>
        </is>
      </c>
      <c r="F2146" s="336" t="inlineStr">
        <is>
          <t>1041</t>
        </is>
      </c>
    </row>
    <row r="2147">
      <c r="D2147" s="336" t="inlineStr">
        <is>
          <t>1719</t>
        </is>
      </c>
      <c r="E2147" s="336" t="inlineStr">
        <is>
          <t>Mwingi</t>
        </is>
      </c>
      <c r="F2147" s="336" t="inlineStr">
        <is>
          <t>1041</t>
        </is>
      </c>
    </row>
    <row r="2148">
      <c r="D2148" s="336" t="inlineStr">
        <is>
          <t>1788</t>
        </is>
      </c>
      <c r="E2148" s="336" t="inlineStr">
        <is>
          <t>NAIROBI WEST</t>
        </is>
      </c>
      <c r="F2148" s="336" t="inlineStr">
        <is>
          <t>1041</t>
        </is>
      </c>
    </row>
    <row r="2149">
      <c r="D2149" s="336" t="inlineStr">
        <is>
          <t>1685</t>
        </is>
      </c>
      <c r="E2149" s="336" t="inlineStr">
        <is>
          <t>Naivasha</t>
        </is>
      </c>
      <c r="F2149" s="336" t="inlineStr">
        <is>
          <t>1041</t>
        </is>
      </c>
    </row>
    <row r="2150">
      <c r="D2150" s="336" t="inlineStr">
        <is>
          <t>1678</t>
        </is>
      </c>
      <c r="E2150" s="336" t="inlineStr">
        <is>
          <t>Nakuru</t>
        </is>
      </c>
      <c r="F2150" s="336" t="inlineStr">
        <is>
          <t>1041</t>
        </is>
      </c>
    </row>
    <row r="2151">
      <c r="D2151" s="336" t="inlineStr">
        <is>
          <t>1802</t>
        </is>
      </c>
      <c r="E2151" s="336" t="inlineStr">
        <is>
          <t>Nakuru Corporate</t>
        </is>
      </c>
      <c r="F2151" s="336" t="inlineStr">
        <is>
          <t>1041</t>
        </is>
      </c>
    </row>
    <row r="2152">
      <c r="D2152" s="336" t="inlineStr">
        <is>
          <t>1695</t>
        </is>
      </c>
      <c r="E2152" s="336" t="inlineStr">
        <is>
          <t>Nakuru Kenyatta Avenue</t>
        </is>
      </c>
      <c r="F2152" s="336" t="inlineStr">
        <is>
          <t>1041</t>
        </is>
      </c>
    </row>
    <row r="2153">
      <c r="D2153" s="336" t="inlineStr">
        <is>
          <t>1745</t>
        </is>
      </c>
      <c r="E2153" s="336" t="inlineStr">
        <is>
          <t>Namanga</t>
        </is>
      </c>
      <c r="F2153" s="336" t="inlineStr">
        <is>
          <t>1041</t>
        </is>
      </c>
    </row>
    <row r="2154">
      <c r="D2154" s="336" t="inlineStr">
        <is>
          <t>1752</t>
        </is>
      </c>
      <c r="E2154" s="336" t="inlineStr">
        <is>
          <t>Nandi Hills</t>
        </is>
      </c>
      <c r="F2154" s="336" t="inlineStr">
        <is>
          <t>1041</t>
        </is>
      </c>
    </row>
    <row r="2155">
      <c r="D2155" s="336" t="inlineStr">
        <is>
          <t>1692</t>
        </is>
      </c>
      <c r="E2155" s="336" t="inlineStr">
        <is>
          <t>Nanyuki</t>
        </is>
      </c>
      <c r="F2155" s="336" t="inlineStr">
        <is>
          <t>1041</t>
        </is>
      </c>
    </row>
    <row r="2156">
      <c r="D2156" s="336" t="inlineStr">
        <is>
          <t>1699</t>
        </is>
      </c>
      <c r="E2156" s="336" t="inlineStr">
        <is>
          <t>Narok</t>
        </is>
      </c>
      <c r="F2156" s="336" t="inlineStr">
        <is>
          <t>1041</t>
        </is>
      </c>
    </row>
    <row r="2157">
      <c r="D2157" s="336" t="inlineStr">
        <is>
          <t>1751</t>
        </is>
      </c>
      <c r="E2157" s="336" t="inlineStr">
        <is>
          <t>Ngara</t>
        </is>
      </c>
      <c r="F2157" s="336" t="inlineStr">
        <is>
          <t>1041</t>
        </is>
      </c>
    </row>
    <row r="2158">
      <c r="D2158" s="336" t="inlineStr">
        <is>
          <t>1733</t>
        </is>
      </c>
      <c r="E2158" s="336" t="inlineStr">
        <is>
          <t>Ngong</t>
        </is>
      </c>
      <c r="F2158" s="336" t="inlineStr">
        <is>
          <t>1041</t>
        </is>
      </c>
    </row>
    <row r="2159">
      <c r="D2159" s="336" t="inlineStr">
        <is>
          <t>1700</t>
        </is>
      </c>
      <c r="E2159" s="336" t="inlineStr">
        <is>
          <t>Nkubu</t>
        </is>
      </c>
      <c r="F2159" s="336" t="inlineStr">
        <is>
          <t>1041</t>
        </is>
      </c>
    </row>
    <row r="2160">
      <c r="D2160" s="336" t="inlineStr">
        <is>
          <t>1681</t>
        </is>
      </c>
      <c r="E2160" s="336" t="inlineStr">
        <is>
          <t>Nyahururu</t>
        </is>
      </c>
      <c r="F2160" s="336" t="inlineStr">
        <is>
          <t>1041</t>
        </is>
      </c>
    </row>
    <row r="2161">
      <c r="D2161" s="336" t="inlineStr">
        <is>
          <t>2277</t>
        </is>
      </c>
      <c r="E2161" s="336" t="inlineStr">
        <is>
          <t>Nyali Centre Corporate</t>
        </is>
      </c>
      <c r="F2161" s="336" t="inlineStr">
        <is>
          <t>1041</t>
        </is>
      </c>
    </row>
    <row r="2162">
      <c r="D2162" s="336" t="inlineStr">
        <is>
          <t>1714</t>
        </is>
      </c>
      <c r="E2162" s="336" t="inlineStr">
        <is>
          <t>Nyamira</t>
        </is>
      </c>
      <c r="F2162" s="336" t="inlineStr">
        <is>
          <t>1041</t>
        </is>
      </c>
    </row>
    <row r="2163">
      <c r="D2163" s="336" t="inlineStr">
        <is>
          <t>1676</t>
        </is>
      </c>
      <c r="E2163" s="336" t="inlineStr">
        <is>
          <t>Nyeri</t>
        </is>
      </c>
      <c r="F2163" s="336" t="inlineStr">
        <is>
          <t>1041</t>
        </is>
      </c>
    </row>
    <row r="2164">
      <c r="D2164" s="336" t="inlineStr">
        <is>
          <t>1775</t>
        </is>
      </c>
      <c r="E2164" s="336" t="inlineStr">
        <is>
          <t>Nyeri Kimathi Way</t>
        </is>
      </c>
      <c r="F2164" s="336" t="inlineStr">
        <is>
          <t>1041</t>
        </is>
      </c>
    </row>
    <row r="2165">
      <c r="D2165" s="336" t="inlineStr">
        <is>
          <t>1722</t>
        </is>
      </c>
      <c r="E2165" s="336" t="inlineStr">
        <is>
          <t>Ol-kalao</t>
        </is>
      </c>
      <c r="F2165" s="336" t="inlineStr">
        <is>
          <t>1041</t>
        </is>
      </c>
    </row>
    <row r="2166">
      <c r="D2166" s="336" t="inlineStr">
        <is>
          <t>1721</t>
        </is>
      </c>
      <c r="E2166" s="336" t="inlineStr">
        <is>
          <t>Ongata Rongai</t>
        </is>
      </c>
      <c r="F2166" s="336" t="inlineStr">
        <is>
          <t>1041</t>
        </is>
      </c>
    </row>
    <row r="2167">
      <c r="D2167" s="336" t="inlineStr">
        <is>
          <t>1748</t>
        </is>
      </c>
      <c r="E2167" s="336" t="inlineStr">
        <is>
          <t>Otc</t>
        </is>
      </c>
      <c r="F2167" s="336" t="inlineStr">
        <is>
          <t>1041</t>
        </is>
      </c>
    </row>
    <row r="2168">
      <c r="D2168" s="336" t="inlineStr">
        <is>
          <t>1673</t>
        </is>
      </c>
      <c r="E2168" s="336" t="inlineStr">
        <is>
          <t>Othaya</t>
        </is>
      </c>
      <c r="F2168" s="336" t="inlineStr">
        <is>
          <t>1041</t>
        </is>
      </c>
    </row>
    <row r="2169">
      <c r="D2169" s="336" t="inlineStr">
        <is>
          <t>1806</t>
        </is>
      </c>
      <c r="E2169" s="336" t="inlineStr">
        <is>
          <t>Oyugis</t>
        </is>
      </c>
      <c r="F2169" s="336" t="inlineStr">
        <is>
          <t>1041</t>
        </is>
      </c>
    </row>
    <row r="2170">
      <c r="D2170" s="336" t="inlineStr">
        <is>
          <t>1794</t>
        </is>
      </c>
      <c r="E2170" s="336" t="inlineStr">
        <is>
          <t>Ridgeways</t>
        </is>
      </c>
      <c r="F2170" s="336" t="inlineStr">
        <is>
          <t>1041</t>
        </is>
      </c>
    </row>
    <row r="2171">
      <c r="D2171" s="336" t="inlineStr">
        <is>
          <t>1800</t>
        </is>
      </c>
      <c r="E2171" s="336" t="inlineStr">
        <is>
          <t>Ruai</t>
        </is>
      </c>
      <c r="F2171" s="336" t="inlineStr">
        <is>
          <t>1041</t>
        </is>
      </c>
    </row>
    <row r="2172">
      <c r="D2172" s="336" t="inlineStr">
        <is>
          <t>1747</t>
        </is>
      </c>
      <c r="E2172" s="336" t="inlineStr">
        <is>
          <t>Ruiru</t>
        </is>
      </c>
      <c r="F2172" s="336" t="inlineStr">
        <is>
          <t>1041</t>
        </is>
      </c>
    </row>
    <row r="2173">
      <c r="D2173" s="336" t="inlineStr">
        <is>
          <t>2274</t>
        </is>
      </c>
      <c r="E2173" s="336" t="inlineStr">
        <is>
          <t>Runyenjes Sub Branch</t>
        </is>
      </c>
      <c r="F2173" s="336" t="inlineStr">
        <is>
          <t>1041</t>
        </is>
      </c>
    </row>
    <row r="2174">
      <c r="D2174" s="336" t="inlineStr">
        <is>
          <t>1757</t>
        </is>
      </c>
      <c r="E2174" s="336" t="inlineStr">
        <is>
          <t>Siaya</t>
        </is>
      </c>
      <c r="F2174" s="336" t="inlineStr">
        <is>
          <t>1041</t>
        </is>
      </c>
    </row>
    <row r="2175">
      <c r="D2175" s="336" t="inlineStr">
        <is>
          <t>1798</t>
        </is>
      </c>
      <c r="E2175" s="336" t="inlineStr">
        <is>
          <t>Taita Taveta</t>
        </is>
      </c>
      <c r="F2175" s="336" t="inlineStr">
        <is>
          <t>1041</t>
        </is>
      </c>
    </row>
    <row r="2176">
      <c r="D2176" s="336" t="inlineStr">
        <is>
          <t>1750</t>
        </is>
      </c>
      <c r="E2176" s="336" t="inlineStr">
        <is>
          <t>Tala</t>
        </is>
      </c>
      <c r="F2176" s="336" t="inlineStr">
        <is>
          <t>1041</t>
        </is>
      </c>
    </row>
    <row r="2177">
      <c r="D2177" s="336" t="inlineStr">
        <is>
          <t>1754</t>
        </is>
      </c>
      <c r="E2177" s="336" t="inlineStr">
        <is>
          <t>Tea Room</t>
        </is>
      </c>
      <c r="F2177" s="336" t="inlineStr">
        <is>
          <t>1041</t>
        </is>
      </c>
    </row>
    <row r="2178">
      <c r="D2178" s="336" t="inlineStr">
        <is>
          <t>1674</t>
        </is>
      </c>
      <c r="E2178" s="336" t="inlineStr">
        <is>
          <t>Thika / Equity Plaza</t>
        </is>
      </c>
      <c r="F2178" s="336" t="inlineStr">
        <is>
          <t>1041</t>
        </is>
      </c>
    </row>
    <row r="2179">
      <c r="D2179" s="336" t="inlineStr">
        <is>
          <t>2270</t>
        </is>
      </c>
      <c r="E2179" s="336" t="inlineStr">
        <is>
          <t>Thika Kenyatta Avenue</t>
        </is>
      </c>
      <c r="F2179" s="336" t="inlineStr">
        <is>
          <t>1041</t>
        </is>
      </c>
    </row>
    <row r="2180">
      <c r="D2180" s="336" t="inlineStr">
        <is>
          <t>2282</t>
        </is>
      </c>
      <c r="E2180" s="336" t="inlineStr">
        <is>
          <t>Thika Supreme Centre</t>
        </is>
      </c>
      <c r="F2180" s="336" t="inlineStr">
        <is>
          <t>1041</t>
        </is>
      </c>
    </row>
    <row r="2181">
      <c r="D2181" s="336" t="inlineStr">
        <is>
          <t>1677</t>
        </is>
      </c>
      <c r="E2181" s="336" t="inlineStr">
        <is>
          <t>TOM MBOYA</t>
        </is>
      </c>
      <c r="F2181" s="336" t="inlineStr">
        <is>
          <t>1041</t>
        </is>
      </c>
    </row>
    <row r="2182">
      <c r="D2182" s="336" t="inlineStr">
        <is>
          <t>1706</t>
        </is>
      </c>
      <c r="E2182" s="336" t="inlineStr">
        <is>
          <t>Ukunda</t>
        </is>
      </c>
      <c r="F2182" s="336" t="inlineStr">
        <is>
          <t>1041</t>
        </is>
      </c>
    </row>
    <row r="2183">
      <c r="D2183" s="336" t="inlineStr">
        <is>
          <t>1739</t>
        </is>
      </c>
      <c r="E2183" s="336" t="inlineStr">
        <is>
          <t>Voi</t>
        </is>
      </c>
      <c r="F2183" s="336" t="inlineStr">
        <is>
          <t>1041</t>
        </is>
      </c>
    </row>
    <row r="2184">
      <c r="D2184" s="336" t="inlineStr">
        <is>
          <t>1763</t>
        </is>
      </c>
      <c r="E2184" s="336" t="inlineStr">
        <is>
          <t>Wajir</t>
        </is>
      </c>
      <c r="F2184" s="336" t="inlineStr">
        <is>
          <t>1041</t>
        </is>
      </c>
    </row>
    <row r="2185">
      <c r="D2185" s="336" t="inlineStr">
        <is>
          <t>1715</t>
        </is>
      </c>
      <c r="E2185" s="336" t="inlineStr">
        <is>
          <t>Westlands</t>
        </is>
      </c>
      <c r="F2185" s="336" t="inlineStr">
        <is>
          <t>1041</t>
        </is>
      </c>
    </row>
    <row r="2186">
      <c r="D2186" s="336" t="inlineStr">
        <is>
          <t>1796</t>
        </is>
      </c>
      <c r="E2186" s="336" t="inlineStr">
        <is>
          <t>Westlands Corporate</t>
        </is>
      </c>
      <c r="F2186" s="336" t="inlineStr">
        <is>
          <t>1041</t>
        </is>
      </c>
    </row>
    <row r="2187">
      <c r="D2187" s="336" t="inlineStr">
        <is>
          <t>1727</t>
        </is>
      </c>
      <c r="E2187" s="336" t="inlineStr">
        <is>
          <t>Wote</t>
        </is>
      </c>
      <c r="F2187" s="336" t="inlineStr">
        <is>
          <t>1041</t>
        </is>
      </c>
    </row>
    <row r="2188">
      <c r="D2188" s="335" t="inlineStr">
        <is>
          <t>2295</t>
        </is>
      </c>
      <c r="E2188" s="335" t="inlineStr">
        <is>
          <t>Banana</t>
        </is>
      </c>
      <c r="F2188" s="335" t="inlineStr">
        <is>
          <t>1042</t>
        </is>
      </c>
    </row>
    <row r="2189">
      <c r="D2189" s="335" t="inlineStr">
        <is>
          <t>2638</t>
        </is>
      </c>
      <c r="E2189" s="335" t="inlineStr">
        <is>
          <t>Bomet Branch</t>
        </is>
      </c>
      <c r="F2189" s="335" t="inlineStr">
        <is>
          <t>1042</t>
        </is>
      </c>
    </row>
    <row r="2190">
      <c r="D2190" s="335" t="inlineStr">
        <is>
          <t>1838</t>
        </is>
      </c>
      <c r="E2190" s="335" t="inlineStr">
        <is>
          <t>Bungoma</t>
        </is>
      </c>
      <c r="F2190" s="335" t="inlineStr">
        <is>
          <t>1042</t>
        </is>
      </c>
    </row>
    <row r="2191">
      <c r="D2191" s="335" t="inlineStr">
        <is>
          <t>1839</t>
        </is>
      </c>
      <c r="E2191" s="335" t="inlineStr">
        <is>
          <t>Busia</t>
        </is>
      </c>
      <c r="F2191" s="335" t="inlineStr">
        <is>
          <t>1042</t>
        </is>
      </c>
    </row>
    <row r="2192">
      <c r="D2192" s="335" t="inlineStr">
        <is>
          <t>1819</t>
        </is>
      </c>
      <c r="E2192" s="335" t="inlineStr">
        <is>
          <t>Cargen House</t>
        </is>
      </c>
      <c r="F2192" s="335" t="inlineStr">
        <is>
          <t>1042</t>
        </is>
      </c>
    </row>
    <row r="2193">
      <c r="D2193" s="335" t="inlineStr">
        <is>
          <t>2284</t>
        </is>
      </c>
      <c r="E2193" s="335" t="inlineStr">
        <is>
          <t>Dagoretti</t>
        </is>
      </c>
      <c r="F2193" s="335" t="inlineStr">
        <is>
          <t>1042</t>
        </is>
      </c>
    </row>
    <row r="2194">
      <c r="D2194" s="335" t="inlineStr">
        <is>
          <t>2311</t>
        </is>
      </c>
      <c r="E2194" s="335" t="inlineStr">
        <is>
          <t>Digo</t>
        </is>
      </c>
      <c r="F2194" s="335" t="inlineStr">
        <is>
          <t>1042</t>
        </is>
      </c>
    </row>
    <row r="2195">
      <c r="D2195" s="335" t="inlineStr">
        <is>
          <t>1825</t>
        </is>
      </c>
      <c r="E2195" s="335" t="inlineStr">
        <is>
          <t>Donholm</t>
        </is>
      </c>
      <c r="F2195" s="335" t="inlineStr">
        <is>
          <t>1042</t>
        </is>
      </c>
    </row>
    <row r="2196">
      <c r="D2196" s="335" t="inlineStr">
        <is>
          <t>1841</t>
        </is>
      </c>
      <c r="E2196" s="335" t="inlineStr">
        <is>
          <t>Eldoret</t>
        </is>
      </c>
      <c r="F2196" s="335" t="inlineStr">
        <is>
          <t>1042</t>
        </is>
      </c>
    </row>
    <row r="2197">
      <c r="D2197" s="335" t="inlineStr">
        <is>
          <t>2310</t>
        </is>
      </c>
      <c r="E2197" s="335" t="inlineStr">
        <is>
          <t>Eldoret West</t>
        </is>
      </c>
      <c r="F2197" s="335" t="inlineStr">
        <is>
          <t>1042</t>
        </is>
      </c>
    </row>
    <row r="2198">
      <c r="D2198" s="335" t="inlineStr">
        <is>
          <t>1837</t>
        </is>
      </c>
      <c r="E2198" s="335" t="inlineStr">
        <is>
          <t>Embu</t>
        </is>
      </c>
      <c r="F2198" s="335" t="inlineStr">
        <is>
          <t>1042</t>
        </is>
      </c>
    </row>
    <row r="2199">
      <c r="D2199" s="335" t="inlineStr">
        <is>
          <t>1835</t>
        </is>
      </c>
      <c r="E2199" s="335" t="inlineStr">
        <is>
          <t>Fourways Corporate Branch</t>
        </is>
      </c>
      <c r="F2199" s="335" t="inlineStr">
        <is>
          <t>1042</t>
        </is>
      </c>
    </row>
    <row r="2200">
      <c r="D2200" s="335" t="inlineStr">
        <is>
          <t>1826</t>
        </is>
      </c>
      <c r="E2200" s="335" t="inlineStr">
        <is>
          <t>Fourways Retail Branch</t>
        </is>
      </c>
      <c r="F2200" s="335" t="inlineStr">
        <is>
          <t>1042</t>
        </is>
      </c>
    </row>
    <row r="2201">
      <c r="D2201" s="335" t="inlineStr">
        <is>
          <t>1811</t>
        </is>
      </c>
      <c r="E2201" s="335" t="inlineStr">
        <is>
          <t>Gatundu</t>
        </is>
      </c>
      <c r="F2201" s="335" t="inlineStr">
        <is>
          <t>1042</t>
        </is>
      </c>
    </row>
    <row r="2202">
      <c r="D2202" s="335" t="inlineStr">
        <is>
          <t>2291</t>
        </is>
      </c>
      <c r="E2202" s="335" t="inlineStr">
        <is>
          <t>Gikomba Area 42</t>
        </is>
      </c>
      <c r="F2202" s="335" t="inlineStr">
        <is>
          <t>1042</t>
        </is>
      </c>
    </row>
    <row r="2203">
      <c r="D2203" s="335" t="inlineStr">
        <is>
          <t>1809</t>
        </is>
      </c>
      <c r="E2203" s="335" t="inlineStr">
        <is>
          <t>Githunguri</t>
        </is>
      </c>
      <c r="F2203" s="335" t="inlineStr">
        <is>
          <t>1042</t>
        </is>
      </c>
    </row>
    <row r="2204">
      <c r="D2204" s="335" t="inlineStr">
        <is>
          <t>1830</t>
        </is>
      </c>
      <c r="E2204" s="335" t="inlineStr">
        <is>
          <t>Githurai</t>
        </is>
      </c>
      <c r="F2204" s="335" t="inlineStr">
        <is>
          <t>1042</t>
        </is>
      </c>
    </row>
    <row r="2205">
      <c r="D2205" s="335" t="inlineStr">
        <is>
          <t>1807</t>
        </is>
      </c>
      <c r="E2205" s="335" t="inlineStr">
        <is>
          <t>Head Office</t>
        </is>
      </c>
      <c r="F2205" s="335" t="inlineStr">
        <is>
          <t>1042</t>
        </is>
      </c>
    </row>
    <row r="2206">
      <c r="D2206" s="335" t="inlineStr">
        <is>
          <t>2290</t>
        </is>
      </c>
      <c r="E2206" s="335" t="inlineStr">
        <is>
          <t>Industrial Area</t>
        </is>
      </c>
      <c r="F2206" s="335" t="inlineStr">
        <is>
          <t>1042</t>
        </is>
      </c>
    </row>
    <row r="2207">
      <c r="D2207" s="335" t="inlineStr">
        <is>
          <t>2294</t>
        </is>
      </c>
      <c r="E2207" s="335" t="inlineStr">
        <is>
          <t>Kagwe</t>
        </is>
      </c>
      <c r="F2207" s="335" t="inlineStr">
        <is>
          <t>1042</t>
        </is>
      </c>
    </row>
    <row r="2208">
      <c r="D2208" s="335" t="inlineStr">
        <is>
          <t>2637</t>
        </is>
      </c>
      <c r="E2208" s="335" t="inlineStr">
        <is>
          <t>Kajiado Branch</t>
        </is>
      </c>
      <c r="F2208" s="335" t="inlineStr">
        <is>
          <t>1042</t>
        </is>
      </c>
    </row>
    <row r="2209">
      <c r="D2209" s="335" t="inlineStr">
        <is>
          <t>2308</t>
        </is>
      </c>
      <c r="E2209" s="335" t="inlineStr">
        <is>
          <t>Kakamega</t>
        </is>
      </c>
      <c r="F2209" s="335" t="inlineStr">
        <is>
          <t>1042</t>
        </is>
      </c>
    </row>
    <row r="2210">
      <c r="D2210" s="335" t="inlineStr">
        <is>
          <t>1814</t>
        </is>
      </c>
      <c r="E2210" s="335" t="inlineStr">
        <is>
          <t>Kangari</t>
        </is>
      </c>
      <c r="F2210" s="335" t="inlineStr">
        <is>
          <t>1042</t>
        </is>
      </c>
    </row>
    <row r="2211">
      <c r="D2211" s="335" t="inlineStr">
        <is>
          <t>1816</t>
        </is>
      </c>
      <c r="E2211" s="335" t="inlineStr">
        <is>
          <t>Kangema</t>
        </is>
      </c>
      <c r="F2211" s="335" t="inlineStr">
        <is>
          <t>1042</t>
        </is>
      </c>
    </row>
    <row r="2212">
      <c r="D2212" s="335" t="inlineStr">
        <is>
          <t>1845</t>
        </is>
      </c>
      <c r="E2212" s="335" t="inlineStr">
        <is>
          <t>Kapsabet</t>
        </is>
      </c>
      <c r="F2212" s="335" t="inlineStr">
        <is>
          <t>1042</t>
        </is>
      </c>
    </row>
    <row r="2213">
      <c r="D2213" s="335" t="inlineStr">
        <is>
          <t>2298</t>
        </is>
      </c>
      <c r="E2213" s="335" t="inlineStr">
        <is>
          <t>Karatina</t>
        </is>
      </c>
      <c r="F2213" s="335" t="inlineStr">
        <is>
          <t>1042</t>
        </is>
      </c>
    </row>
    <row r="2214">
      <c r="D2214" s="335" t="inlineStr">
        <is>
          <t>1828</t>
        </is>
      </c>
      <c r="E2214" s="335" t="inlineStr">
        <is>
          <t>Kariobangi</t>
        </is>
      </c>
      <c r="F2214" s="335" t="inlineStr">
        <is>
          <t>1042</t>
        </is>
      </c>
    </row>
    <row r="2215">
      <c r="D2215" s="335" t="inlineStr">
        <is>
          <t>2636</t>
        </is>
      </c>
      <c r="E2215" s="335" t="inlineStr">
        <is>
          <t>Kasarani Branch</t>
        </is>
      </c>
      <c r="F2215" s="335" t="inlineStr">
        <is>
          <t>1042</t>
        </is>
      </c>
    </row>
    <row r="2216">
      <c r="D2216" s="335" t="inlineStr">
        <is>
          <t>2301</t>
        </is>
      </c>
      <c r="E2216" s="335" t="inlineStr">
        <is>
          <t>Kayole</t>
        </is>
      </c>
      <c r="F2216" s="335" t="inlineStr">
        <is>
          <t>1042</t>
        </is>
      </c>
    </row>
    <row r="2217">
      <c r="D2217" s="335" t="inlineStr">
        <is>
          <t>1818</t>
        </is>
      </c>
      <c r="E2217" s="335" t="inlineStr">
        <is>
          <t>Kenyatta Avenue</t>
        </is>
      </c>
      <c r="F2217" s="335" t="inlineStr">
        <is>
          <t>1042</t>
        </is>
      </c>
    </row>
    <row r="2218">
      <c r="D2218" s="335" t="inlineStr">
        <is>
          <t>2285</t>
        </is>
      </c>
      <c r="E2218" s="335" t="inlineStr">
        <is>
          <t>Kericho</t>
        </is>
      </c>
      <c r="F2218" s="335" t="inlineStr">
        <is>
          <t>1042</t>
        </is>
      </c>
    </row>
    <row r="2219">
      <c r="D2219" s="335" t="inlineStr">
        <is>
          <t>1832</t>
        </is>
      </c>
      <c r="E2219" s="335" t="inlineStr">
        <is>
          <t>Kerugoya</t>
        </is>
      </c>
      <c r="F2219" s="335" t="inlineStr">
        <is>
          <t>1042</t>
        </is>
      </c>
    </row>
    <row r="2220">
      <c r="D2220" s="335" t="inlineStr">
        <is>
          <t>1808</t>
        </is>
      </c>
      <c r="E2220" s="335" t="inlineStr">
        <is>
          <t>Kiambu</t>
        </is>
      </c>
      <c r="F2220" s="335" t="inlineStr">
        <is>
          <t>1042</t>
        </is>
      </c>
    </row>
    <row r="2221">
      <c r="D2221" s="335" t="inlineStr">
        <is>
          <t>2313</t>
        </is>
      </c>
      <c r="E2221" s="335" t="inlineStr">
        <is>
          <t>Kikuyu</t>
        </is>
      </c>
      <c r="F2221" s="335" t="inlineStr">
        <is>
          <t>1042</t>
        </is>
      </c>
    </row>
    <row r="2222">
      <c r="D2222" s="335" t="inlineStr">
        <is>
          <t>1815</t>
        </is>
      </c>
      <c r="E2222" s="335" t="inlineStr">
        <is>
          <t>Kiria-ini</t>
        </is>
      </c>
      <c r="F2222" s="335" t="inlineStr">
        <is>
          <t>1042</t>
        </is>
      </c>
    </row>
    <row r="2223">
      <c r="D2223" s="335" t="inlineStr">
        <is>
          <t>1824</t>
        </is>
      </c>
      <c r="E2223" s="335" t="inlineStr">
        <is>
          <t>Kisii</t>
        </is>
      </c>
      <c r="F2223" s="335" t="inlineStr">
        <is>
          <t>1042</t>
        </is>
      </c>
    </row>
    <row r="2224">
      <c r="D2224" s="335" t="inlineStr">
        <is>
          <t>2288</t>
        </is>
      </c>
      <c r="E2224" s="335" t="inlineStr">
        <is>
          <t>Kisumu Al Imran</t>
        </is>
      </c>
      <c r="F2224" s="335" t="inlineStr">
        <is>
          <t>1042</t>
        </is>
      </c>
    </row>
    <row r="2225">
      <c r="D2225" s="335" t="inlineStr">
        <is>
          <t>1823</t>
        </is>
      </c>
      <c r="E2225" s="335" t="inlineStr">
        <is>
          <t>Kisumu Reliance</t>
        </is>
      </c>
      <c r="F2225" s="335" t="inlineStr">
        <is>
          <t>1042</t>
        </is>
      </c>
    </row>
    <row r="2226">
      <c r="D2226" s="335" t="inlineStr">
        <is>
          <t>1842</t>
        </is>
      </c>
      <c r="E2226" s="335" t="inlineStr">
        <is>
          <t>Kitale</t>
        </is>
      </c>
      <c r="F2226" s="335" t="inlineStr">
        <is>
          <t>1042</t>
        </is>
      </c>
    </row>
    <row r="2227">
      <c r="D2227" s="335" t="inlineStr">
        <is>
          <t>2306</t>
        </is>
      </c>
      <c r="E2227" s="335" t="inlineStr">
        <is>
          <t>Kitengela</t>
        </is>
      </c>
      <c r="F2227" s="335" t="inlineStr">
        <is>
          <t>1042</t>
        </is>
      </c>
    </row>
    <row r="2228">
      <c r="D2228" s="335" t="inlineStr">
        <is>
          <t>2307</t>
        </is>
      </c>
      <c r="E2228" s="335" t="inlineStr">
        <is>
          <t>Kitui</t>
        </is>
      </c>
      <c r="F2228" s="335" t="inlineStr">
        <is>
          <t>1042</t>
        </is>
      </c>
    </row>
    <row r="2229">
      <c r="D2229" s="335" t="inlineStr">
        <is>
          <t>1827</t>
        </is>
      </c>
      <c r="E2229" s="335" t="inlineStr">
        <is>
          <t>Ktda Plaza</t>
        </is>
      </c>
      <c r="F2229" s="335" t="inlineStr">
        <is>
          <t>1042</t>
        </is>
      </c>
    </row>
    <row r="2230">
      <c r="D2230" s="335" t="inlineStr">
        <is>
          <t>1834</t>
        </is>
      </c>
      <c r="E2230" s="335" t="inlineStr">
        <is>
          <t>Ktda Plaza Corporate</t>
        </is>
      </c>
      <c r="F2230" s="335" t="inlineStr">
        <is>
          <t>1042</t>
        </is>
      </c>
    </row>
    <row r="2231">
      <c r="D2231" s="335" t="inlineStr">
        <is>
          <t>2634</t>
        </is>
      </c>
      <c r="E2231" s="335" t="inlineStr">
        <is>
          <t>Laptrust Nairobi Branch</t>
        </is>
      </c>
      <c r="F2231" s="335" t="inlineStr">
        <is>
          <t>1042</t>
        </is>
      </c>
    </row>
    <row r="2232">
      <c r="D2232" s="335" t="inlineStr">
        <is>
          <t>1831</t>
        </is>
      </c>
      <c r="E2232" s="335" t="inlineStr">
        <is>
          <t>Limuru</t>
        </is>
      </c>
      <c r="F2232" s="335" t="inlineStr">
        <is>
          <t>1042</t>
        </is>
      </c>
    </row>
    <row r="2233">
      <c r="D2233" s="335" t="inlineStr">
        <is>
          <t>1836</t>
        </is>
      </c>
      <c r="E2233" s="335" t="inlineStr">
        <is>
          <t>Mackakos</t>
        </is>
      </c>
      <c r="F2233" s="335" t="inlineStr">
        <is>
          <t>1042</t>
        </is>
      </c>
    </row>
    <row r="2234">
      <c r="D2234" s="335" t="inlineStr">
        <is>
          <t>2639</t>
        </is>
      </c>
      <c r="E2234" s="335" t="inlineStr">
        <is>
          <t>Malindi Branch</t>
        </is>
      </c>
      <c r="F2234" s="335" t="inlineStr">
        <is>
          <t>1042</t>
        </is>
      </c>
    </row>
    <row r="2235">
      <c r="D2235" s="335" t="inlineStr">
        <is>
          <t>1833</t>
        </is>
      </c>
      <c r="E2235" s="335" t="inlineStr">
        <is>
          <t>Meru</t>
        </is>
      </c>
      <c r="F2235" s="335" t="inlineStr">
        <is>
          <t>1042</t>
        </is>
      </c>
    </row>
    <row r="2236">
      <c r="D2236" s="335" t="inlineStr">
        <is>
          <t>1840</t>
        </is>
      </c>
      <c r="E2236" s="335" t="inlineStr">
        <is>
          <t>Molo</t>
        </is>
      </c>
      <c r="F2236" s="335" t="inlineStr">
        <is>
          <t>1042</t>
        </is>
      </c>
    </row>
    <row r="2237">
      <c r="D2237" s="335" t="inlineStr">
        <is>
          <t>1844</t>
        </is>
      </c>
      <c r="E2237" s="335" t="inlineStr">
        <is>
          <t>Mombasa Jomo Kenyatta Avenue</t>
        </is>
      </c>
      <c r="F2237" s="335" t="inlineStr">
        <is>
          <t>1042</t>
        </is>
      </c>
    </row>
    <row r="2238">
      <c r="D2238" s="335" t="inlineStr">
        <is>
          <t>1843</t>
        </is>
      </c>
      <c r="E2238" s="335" t="inlineStr">
        <is>
          <t>Mombasa Nkrumah Road</t>
        </is>
      </c>
      <c r="F2238" s="335" t="inlineStr">
        <is>
          <t>1042</t>
        </is>
      </c>
    </row>
    <row r="2239">
      <c r="D2239" s="335" t="inlineStr">
        <is>
          <t>2312</t>
        </is>
      </c>
      <c r="E2239" s="335" t="inlineStr">
        <is>
          <t>Mtwapa</t>
        </is>
      </c>
      <c r="F2239" s="335" t="inlineStr">
        <is>
          <t>1042</t>
        </is>
      </c>
    </row>
    <row r="2240">
      <c r="D2240" s="335" t="inlineStr">
        <is>
          <t>2309</t>
        </is>
      </c>
      <c r="E2240" s="335" t="inlineStr">
        <is>
          <t>Mumias</t>
        </is>
      </c>
      <c r="F2240" s="335" t="inlineStr">
        <is>
          <t>1042</t>
        </is>
      </c>
    </row>
    <row r="2241">
      <c r="D2241" s="335" t="inlineStr">
        <is>
          <t>1813</t>
        </is>
      </c>
      <c r="E2241" s="335" t="inlineStr">
        <is>
          <t>Muranga</t>
        </is>
      </c>
      <c r="F2241" s="335" t="inlineStr">
        <is>
          <t>1042</t>
        </is>
      </c>
    </row>
    <row r="2242">
      <c r="D2242" s="335" t="inlineStr">
        <is>
          <t>2635</t>
        </is>
      </c>
      <c r="E2242" s="335" t="inlineStr">
        <is>
          <t>Nairobi City Hall Branch</t>
        </is>
      </c>
      <c r="F2242" s="335" t="inlineStr">
        <is>
          <t>1042</t>
        </is>
      </c>
    </row>
    <row r="2243">
      <c r="D2243" s="335" t="inlineStr">
        <is>
          <t>2296</t>
        </is>
      </c>
      <c r="E2243" s="335" t="inlineStr">
        <is>
          <t>Naivasha</t>
        </is>
      </c>
      <c r="F2243" s="335" t="inlineStr">
        <is>
          <t>1042</t>
        </is>
      </c>
    </row>
    <row r="2244">
      <c r="D2244" s="335" t="inlineStr">
        <is>
          <t>1820</t>
        </is>
      </c>
      <c r="E2244" s="335" t="inlineStr">
        <is>
          <t>Nakuru Finance House</t>
        </is>
      </c>
      <c r="F2244" s="335" t="inlineStr">
        <is>
          <t>1042</t>
        </is>
      </c>
    </row>
    <row r="2245">
      <c r="D2245" s="335" t="inlineStr">
        <is>
          <t>1821</t>
        </is>
      </c>
      <c r="E2245" s="335" t="inlineStr">
        <is>
          <t>Nakuru Market</t>
        </is>
      </c>
      <c r="F2245" s="335" t="inlineStr">
        <is>
          <t>1042</t>
        </is>
      </c>
    </row>
    <row r="2246">
      <c r="D2246" s="335" t="inlineStr">
        <is>
          <t>2303</t>
        </is>
      </c>
      <c r="E2246" s="335" t="inlineStr">
        <is>
          <t>Nanyuki</t>
        </is>
      </c>
      <c r="F2246" s="335" t="inlineStr">
        <is>
          <t>1042</t>
        </is>
      </c>
    </row>
    <row r="2247">
      <c r="D2247" s="335" t="inlineStr">
        <is>
          <t>2289</t>
        </is>
      </c>
      <c r="E2247" s="335" t="inlineStr">
        <is>
          <t>Narok</t>
        </is>
      </c>
      <c r="F2247" s="335" t="inlineStr">
        <is>
          <t>1042</t>
        </is>
      </c>
    </row>
    <row r="2248">
      <c r="D2248" s="335" t="inlineStr">
        <is>
          <t>2305</t>
        </is>
      </c>
      <c r="E2248" s="335" t="inlineStr">
        <is>
          <t>Ngara</t>
        </is>
      </c>
      <c r="F2248" s="335" t="inlineStr">
        <is>
          <t>1042</t>
        </is>
      </c>
    </row>
    <row r="2249">
      <c r="D2249" s="335" t="inlineStr">
        <is>
          <t>2302</t>
        </is>
      </c>
      <c r="E2249" s="335" t="inlineStr">
        <is>
          <t>Nkubu</t>
        </is>
      </c>
      <c r="F2249" s="335" t="inlineStr">
        <is>
          <t>1042</t>
        </is>
      </c>
    </row>
    <row r="2250">
      <c r="D2250" s="335" t="inlineStr">
        <is>
          <t>2286</t>
        </is>
      </c>
      <c r="E2250" s="335" t="inlineStr">
        <is>
          <t>Nyahururu</t>
        </is>
      </c>
      <c r="F2250" s="335" t="inlineStr">
        <is>
          <t>1042</t>
        </is>
      </c>
    </row>
    <row r="2251">
      <c r="D2251" s="335" t="inlineStr">
        <is>
          <t>2287</t>
        </is>
      </c>
      <c r="E2251" s="335" t="inlineStr">
        <is>
          <t>Nyamira</t>
        </is>
      </c>
      <c r="F2251" s="335" t="inlineStr">
        <is>
          <t>1042</t>
        </is>
      </c>
    </row>
    <row r="2252">
      <c r="D2252" s="335" t="inlineStr">
        <is>
          <t>2297</t>
        </is>
      </c>
      <c r="E2252" s="335" t="inlineStr">
        <is>
          <t>Nyeri</t>
        </is>
      </c>
      <c r="F2252" s="335" t="inlineStr">
        <is>
          <t>1042</t>
        </is>
      </c>
    </row>
    <row r="2253">
      <c r="D2253" s="335" t="inlineStr">
        <is>
          <t>2304</t>
        </is>
      </c>
      <c r="E2253" s="335" t="inlineStr">
        <is>
          <t>Ongata Rongai</t>
        </is>
      </c>
      <c r="F2253" s="335" t="inlineStr">
        <is>
          <t>1042</t>
        </is>
      </c>
    </row>
    <row r="2254">
      <c r="D2254" s="335" t="inlineStr">
        <is>
          <t>1817</t>
        </is>
      </c>
      <c r="E2254" s="335" t="inlineStr">
        <is>
          <t>Othaya</t>
        </is>
      </c>
      <c r="F2254" s="335" t="inlineStr">
        <is>
          <t>1042</t>
        </is>
      </c>
    </row>
    <row r="2255">
      <c r="D2255" s="335" t="inlineStr">
        <is>
          <t>2300</t>
        </is>
      </c>
      <c r="E2255" s="335" t="inlineStr">
        <is>
          <t>River Road</t>
        </is>
      </c>
      <c r="F2255" s="335" t="inlineStr">
        <is>
          <t>1042</t>
        </is>
      </c>
    </row>
    <row r="2256">
      <c r="D2256" s="335" t="inlineStr">
        <is>
          <t>1822</t>
        </is>
      </c>
      <c r="E2256" s="335" t="inlineStr">
        <is>
          <t>Ruiru</t>
        </is>
      </c>
      <c r="F2256" s="335" t="inlineStr">
        <is>
          <t>1042</t>
        </is>
      </c>
    </row>
    <row r="2257">
      <c r="D2257" s="335" t="inlineStr">
        <is>
          <t>1829</t>
        </is>
      </c>
      <c r="E2257" s="335" t="inlineStr">
        <is>
          <t>Sokoni</t>
        </is>
      </c>
      <c r="F2257" s="335" t="inlineStr">
        <is>
          <t>1042</t>
        </is>
      </c>
    </row>
    <row r="2258">
      <c r="D2258" s="335" t="inlineStr">
        <is>
          <t>1810</t>
        </is>
      </c>
      <c r="E2258" s="335" t="inlineStr">
        <is>
          <t>Sonalux</t>
        </is>
      </c>
      <c r="F2258" s="335" t="inlineStr">
        <is>
          <t>1042</t>
        </is>
      </c>
    </row>
    <row r="2259">
      <c r="D2259" s="335" t="inlineStr">
        <is>
          <t>1812</t>
        </is>
      </c>
      <c r="E2259" s="335" t="inlineStr">
        <is>
          <t>Thika</t>
        </is>
      </c>
      <c r="F2259" s="335" t="inlineStr">
        <is>
          <t>1042</t>
        </is>
      </c>
    </row>
    <row r="2260">
      <c r="D2260" s="335" t="inlineStr">
        <is>
          <t>2299</t>
        </is>
      </c>
      <c r="E2260" s="335" t="inlineStr">
        <is>
          <t>Tom Mboya</t>
        </is>
      </c>
      <c r="F2260" s="335" t="inlineStr">
        <is>
          <t>1042</t>
        </is>
      </c>
    </row>
    <row r="2261">
      <c r="D2261" s="335" t="inlineStr">
        <is>
          <t>2293</t>
        </is>
      </c>
      <c r="E2261" s="335" t="inlineStr">
        <is>
          <t>Westlands</t>
        </is>
      </c>
      <c r="F2261" s="335" t="inlineStr">
        <is>
          <t>1042</t>
        </is>
      </c>
    </row>
    <row r="2262">
      <c r="D2262" s="335" t="inlineStr">
        <is>
          <t>2292</t>
        </is>
      </c>
      <c r="E2262" s="335" t="inlineStr">
        <is>
          <t>Yaya</t>
        </is>
      </c>
      <c r="F2262" s="335" t="inlineStr">
        <is>
          <t>1042</t>
        </is>
      </c>
    </row>
    <row r="2263">
      <c r="D2263" s="336" t="inlineStr">
        <is>
          <t>2328</t>
        </is>
      </c>
      <c r="E2263" s="336" t="inlineStr">
        <is>
          <t>Bombululu</t>
        </is>
      </c>
      <c r="F2263" s="336" t="inlineStr">
        <is>
          <t>1043</t>
        </is>
      </c>
    </row>
    <row r="2264">
      <c r="D2264" s="336" t="inlineStr">
        <is>
          <t>2322</t>
        </is>
      </c>
      <c r="E2264" s="336" t="inlineStr">
        <is>
          <t>Bondeni</t>
        </is>
      </c>
      <c r="F2264" s="336" t="inlineStr">
        <is>
          <t>1043</t>
        </is>
      </c>
    </row>
    <row r="2265">
      <c r="D2265" s="336" t="inlineStr">
        <is>
          <t>2315</t>
        </is>
      </c>
      <c r="E2265" s="336" t="inlineStr">
        <is>
          <t>Central Clearing Centre</t>
        </is>
      </c>
      <c r="F2265" s="336" t="inlineStr">
        <is>
          <t>1043</t>
        </is>
      </c>
    </row>
    <row r="2266">
      <c r="D2266" s="336" t="inlineStr">
        <is>
          <t>1846</t>
        </is>
      </c>
      <c r="E2266" s="336" t="inlineStr">
        <is>
          <t>Eastleigh</t>
        </is>
      </c>
      <c r="F2266" s="336" t="inlineStr">
        <is>
          <t>1043</t>
        </is>
      </c>
    </row>
    <row r="2267">
      <c r="D2267" s="336" t="inlineStr">
        <is>
          <t>2323</t>
        </is>
      </c>
      <c r="E2267" s="336" t="inlineStr">
        <is>
          <t>Eastleigh 7th Street</t>
        </is>
      </c>
      <c r="F2267" s="336" t="inlineStr">
        <is>
          <t>1043</t>
        </is>
      </c>
    </row>
    <row r="2268">
      <c r="D2268" s="336" t="inlineStr">
        <is>
          <t>2324</t>
        </is>
      </c>
      <c r="E2268" s="336" t="inlineStr">
        <is>
          <t>Eastleigh Athumani Kipanga Street</t>
        </is>
      </c>
      <c r="F2268" s="336" t="inlineStr">
        <is>
          <t>1043</t>
        </is>
      </c>
    </row>
    <row r="2269">
      <c r="D2269" s="336" t="inlineStr">
        <is>
          <t>2318</t>
        </is>
      </c>
      <c r="E2269" s="336" t="inlineStr">
        <is>
          <t>Garissa</t>
        </is>
      </c>
      <c r="F2269" s="336" t="inlineStr">
        <is>
          <t>1043</t>
        </is>
      </c>
    </row>
    <row r="2270">
      <c r="D2270" s="336" t="inlineStr">
        <is>
          <t>2314</t>
        </is>
      </c>
      <c r="E2270" s="336" t="inlineStr">
        <is>
          <t>Head Office</t>
        </is>
      </c>
      <c r="F2270" s="336" t="inlineStr">
        <is>
          <t>1043</t>
        </is>
      </c>
    </row>
    <row r="2271">
      <c r="D2271" s="336" t="inlineStr">
        <is>
          <t>2326</t>
        </is>
      </c>
      <c r="E2271" s="336" t="inlineStr">
        <is>
          <t>Industrial Area</t>
        </is>
      </c>
      <c r="F2271" s="336" t="inlineStr">
        <is>
          <t>1043</t>
        </is>
      </c>
    </row>
    <row r="2272">
      <c r="D2272" s="336" t="inlineStr">
        <is>
          <t>2327</t>
        </is>
      </c>
      <c r="E2272" s="336" t="inlineStr">
        <is>
          <t>Jomo Kenyatta Avenue</t>
        </is>
      </c>
      <c r="F2272" s="336" t="inlineStr">
        <is>
          <t>1043</t>
        </is>
      </c>
    </row>
    <row r="2273">
      <c r="D2273" s="336" t="inlineStr">
        <is>
          <t>1847</t>
        </is>
      </c>
      <c r="E2273" s="336" t="inlineStr">
        <is>
          <t>Kenyatta Avenue</t>
        </is>
      </c>
      <c r="F2273" s="336" t="inlineStr">
        <is>
          <t>1043</t>
        </is>
      </c>
    </row>
    <row r="2274">
      <c r="D2274" s="336" t="inlineStr">
        <is>
          <t>2319</t>
        </is>
      </c>
      <c r="E2274" s="336" t="inlineStr">
        <is>
          <t>Lamu</t>
        </is>
      </c>
      <c r="F2274" s="336" t="inlineStr">
        <is>
          <t>1043</t>
        </is>
      </c>
    </row>
    <row r="2275">
      <c r="D2275" s="336" t="inlineStr">
        <is>
          <t>2320</t>
        </is>
      </c>
      <c r="E2275" s="336" t="inlineStr">
        <is>
          <t>Malindi</t>
        </is>
      </c>
      <c r="F2275" s="336" t="inlineStr">
        <is>
          <t>1043</t>
        </is>
      </c>
    </row>
    <row r="2276">
      <c r="D2276" s="336" t="inlineStr">
        <is>
          <t>2317</t>
        </is>
      </c>
      <c r="E2276" s="336" t="inlineStr">
        <is>
          <t>Mombasa</t>
        </is>
      </c>
      <c r="F2276" s="336" t="inlineStr">
        <is>
          <t>1043</t>
        </is>
      </c>
    </row>
    <row r="2277">
      <c r="D2277" s="336" t="inlineStr">
        <is>
          <t>2321</t>
        </is>
      </c>
      <c r="E2277" s="336" t="inlineStr">
        <is>
          <t>Muthaiga</t>
        </is>
      </c>
      <c r="F2277" s="336" t="inlineStr">
        <is>
          <t>1043</t>
        </is>
      </c>
    </row>
    <row r="2278">
      <c r="D2278" s="336" t="inlineStr">
        <is>
          <t>2316</t>
        </is>
      </c>
      <c r="E2278" s="336" t="inlineStr">
        <is>
          <t>Upperhill</t>
        </is>
      </c>
      <c r="F2278" s="336" t="inlineStr">
        <is>
          <t>1043</t>
        </is>
      </c>
    </row>
    <row r="2279">
      <c r="D2279" s="336" t="inlineStr">
        <is>
          <t>2325</t>
        </is>
      </c>
      <c r="E2279" s="336" t="inlineStr">
        <is>
          <t>Westlands</t>
        </is>
      </c>
      <c r="F2279" s="336" t="inlineStr">
        <is>
          <t>1043</t>
        </is>
      </c>
    </row>
    <row r="2280">
      <c r="D2280" s="335" t="inlineStr">
        <is>
          <t>1849</t>
        </is>
      </c>
      <c r="E2280" s="335" t="inlineStr">
        <is>
          <t>Eastleigh 1</t>
        </is>
      </c>
      <c r="F2280" s="335" t="inlineStr">
        <is>
          <t>1044</t>
        </is>
      </c>
    </row>
    <row r="2281">
      <c r="D2281" s="335" t="inlineStr">
        <is>
          <t>2329</t>
        </is>
      </c>
      <c r="E2281" s="335" t="inlineStr">
        <is>
          <t>Eastleigh 2 - General Waruing</t>
        </is>
      </c>
      <c r="F2281" s="335" t="inlineStr">
        <is>
          <t>1044</t>
        </is>
      </c>
    </row>
    <row r="2282">
      <c r="D2282" s="335" t="inlineStr">
        <is>
          <t>1851</t>
        </is>
      </c>
      <c r="E2282" s="335" t="inlineStr">
        <is>
          <t>Garissa</t>
        </is>
      </c>
      <c r="F2282" s="335" t="inlineStr">
        <is>
          <t>1044</t>
        </is>
      </c>
    </row>
    <row r="2283">
      <c r="D2283" s="335" t="inlineStr">
        <is>
          <t>2337</t>
        </is>
      </c>
      <c r="E2283" s="335" t="inlineStr">
        <is>
          <t>Habasweni</t>
        </is>
      </c>
      <c r="F2283" s="335" t="inlineStr">
        <is>
          <t>1044</t>
        </is>
      </c>
    </row>
    <row r="2284">
      <c r="D2284" s="335" t="inlineStr">
        <is>
          <t>1852</t>
        </is>
      </c>
      <c r="E2284" s="335" t="inlineStr">
        <is>
          <t>Head Office/clearing Center</t>
        </is>
      </c>
      <c r="F2284" s="335" t="inlineStr">
        <is>
          <t>1044</t>
        </is>
      </c>
    </row>
    <row r="2285">
      <c r="D2285" s="335" t="inlineStr">
        <is>
          <t>2335</t>
        </is>
      </c>
      <c r="E2285" s="335" t="inlineStr">
        <is>
          <t>Industrial Area</t>
        </is>
      </c>
      <c r="F2285" s="335" t="inlineStr">
        <is>
          <t>1044</t>
        </is>
      </c>
    </row>
    <row r="2286">
      <c r="D2286" s="335" t="inlineStr">
        <is>
          <t>2332</t>
        </is>
      </c>
      <c r="E2286" s="335" t="inlineStr">
        <is>
          <t>Kimathi Street</t>
        </is>
      </c>
      <c r="F2286" s="335" t="inlineStr">
        <is>
          <t>1044</t>
        </is>
      </c>
    </row>
    <row r="2287">
      <c r="D2287" s="335" t="inlineStr">
        <is>
          <t>2331</t>
        </is>
      </c>
      <c r="E2287" s="335" t="inlineStr">
        <is>
          <t>Kisumu</t>
        </is>
      </c>
      <c r="F2287" s="335" t="inlineStr">
        <is>
          <t>1044</t>
        </is>
      </c>
    </row>
    <row r="2288">
      <c r="D2288" s="335" t="inlineStr">
        <is>
          <t>2330</t>
        </is>
      </c>
      <c r="E2288" s="335" t="inlineStr">
        <is>
          <t>Malindi</t>
        </is>
      </c>
      <c r="F2288" s="335" t="inlineStr">
        <is>
          <t>1044</t>
        </is>
      </c>
    </row>
    <row r="2289">
      <c r="D2289" s="335" t="inlineStr">
        <is>
          <t>2336</t>
        </is>
      </c>
      <c r="E2289" s="335" t="inlineStr">
        <is>
          <t>Masalani</t>
        </is>
      </c>
      <c r="F2289" s="335" t="inlineStr">
        <is>
          <t>1044</t>
        </is>
      </c>
    </row>
    <row r="2290">
      <c r="D2290" s="335" t="inlineStr">
        <is>
          <t>1850</t>
        </is>
      </c>
      <c r="E2290" s="335" t="inlineStr">
        <is>
          <t>Mombasa 1</t>
        </is>
      </c>
      <c r="F2290" s="335" t="inlineStr">
        <is>
          <t>1044</t>
        </is>
      </c>
    </row>
    <row r="2291">
      <c r="D2291" s="335" t="inlineStr">
        <is>
          <t>2341</t>
        </is>
      </c>
      <c r="E2291" s="335" t="inlineStr">
        <is>
          <t>Mombasa 2</t>
        </is>
      </c>
      <c r="F2291" s="335" t="inlineStr">
        <is>
          <t>1044</t>
        </is>
      </c>
    </row>
    <row r="2292">
      <c r="D2292" s="335" t="inlineStr">
        <is>
          <t>2339</t>
        </is>
      </c>
      <c r="E2292" s="335" t="inlineStr">
        <is>
          <t>Moyale</t>
        </is>
      </c>
      <c r="F2292" s="335" t="inlineStr">
        <is>
          <t>1044</t>
        </is>
      </c>
    </row>
    <row r="2293">
      <c r="D2293" s="335" t="inlineStr">
        <is>
          <t>2340</t>
        </is>
      </c>
      <c r="E2293" s="335" t="inlineStr">
        <is>
          <t>Nakuru</t>
        </is>
      </c>
      <c r="F2293" s="335" t="inlineStr">
        <is>
          <t>1044</t>
        </is>
      </c>
    </row>
    <row r="2294">
      <c r="D2294" s="335" t="inlineStr">
        <is>
          <t>2334</t>
        </is>
      </c>
      <c r="E2294" s="335" t="inlineStr">
        <is>
          <t>South C</t>
        </is>
      </c>
      <c r="F2294" s="335" t="inlineStr">
        <is>
          <t>1044</t>
        </is>
      </c>
    </row>
    <row r="2295">
      <c r="D2295" s="335" t="inlineStr">
        <is>
          <t>1848</t>
        </is>
      </c>
      <c r="E2295" s="335" t="inlineStr">
        <is>
          <t>Wabera Street</t>
        </is>
      </c>
      <c r="F2295" s="335" t="inlineStr">
        <is>
          <t>1044</t>
        </is>
      </c>
    </row>
    <row r="2296">
      <c r="D2296" s="335" t="inlineStr">
        <is>
          <t>2338</t>
        </is>
      </c>
      <c r="E2296" s="335" t="inlineStr">
        <is>
          <t>Wajir</t>
        </is>
      </c>
      <c r="F2296" s="335" t="inlineStr">
        <is>
          <t>1044</t>
        </is>
      </c>
    </row>
    <row r="2297">
      <c r="D2297" s="335" t="inlineStr">
        <is>
          <t>2333</t>
        </is>
      </c>
      <c r="E2297" s="335" t="inlineStr">
        <is>
          <t>Westlands</t>
        </is>
      </c>
      <c r="F2297" s="335" t="inlineStr">
        <is>
          <t>1044</t>
        </is>
      </c>
    </row>
    <row r="2298">
      <c r="D2298" s="336" t="inlineStr">
        <is>
          <t>1857</t>
        </is>
      </c>
      <c r="E2298" s="336" t="inlineStr">
        <is>
          <t>Enterprise Road</t>
        </is>
      </c>
      <c r="F2298" s="336" t="inlineStr">
        <is>
          <t>1049</t>
        </is>
      </c>
    </row>
    <row r="2299">
      <c r="D2299" s="336" t="inlineStr">
        <is>
          <t>2342</t>
        </is>
      </c>
      <c r="E2299" s="336" t="inlineStr">
        <is>
          <t>Head Office</t>
        </is>
      </c>
      <c r="F2299" s="336" t="inlineStr">
        <is>
          <t>1049</t>
        </is>
      </c>
    </row>
    <row r="2300">
      <c r="D2300" s="336" t="inlineStr">
        <is>
          <t>1858</t>
        </is>
      </c>
      <c r="E2300" s="336" t="inlineStr">
        <is>
          <t>Upper Hill</t>
        </is>
      </c>
      <c r="F2300" s="336" t="inlineStr">
        <is>
          <t>1049</t>
        </is>
      </c>
    </row>
    <row r="2301">
      <c r="D2301" s="336" t="inlineStr">
        <is>
          <t>1856</t>
        </is>
      </c>
      <c r="E2301" s="336" t="inlineStr">
        <is>
          <t>Westlands</t>
        </is>
      </c>
      <c r="F2301" s="336" t="inlineStr">
        <is>
          <t>1049</t>
        </is>
      </c>
    </row>
    <row r="2302">
      <c r="D2302" s="335" t="inlineStr">
        <is>
          <t>2220</t>
        </is>
      </c>
      <c r="E2302" s="335" t="inlineStr">
        <is>
          <t>Buru Buru</t>
        </is>
      </c>
      <c r="F2302" s="335" t="inlineStr">
        <is>
          <t>1050</t>
        </is>
      </c>
    </row>
    <row r="2303">
      <c r="D2303" s="335" t="inlineStr">
        <is>
          <t>2223</t>
        </is>
      </c>
      <c r="E2303" s="335" t="inlineStr">
        <is>
          <t>Eldoret</t>
        </is>
      </c>
      <c r="F2303" s="335" t="inlineStr">
        <is>
          <t>1050</t>
        </is>
      </c>
    </row>
    <row r="2304">
      <c r="D2304" s="335" t="inlineStr">
        <is>
          <t>2219</t>
        </is>
      </c>
      <c r="E2304" s="335" t="inlineStr">
        <is>
          <t>Gill House</t>
        </is>
      </c>
      <c r="F2304" s="335" t="inlineStr">
        <is>
          <t>1050</t>
        </is>
      </c>
    </row>
    <row r="2305">
      <c r="D2305" s="335" t="inlineStr">
        <is>
          <t>2216</t>
        </is>
      </c>
      <c r="E2305" s="335" t="inlineStr">
        <is>
          <t>Head Office</t>
        </is>
      </c>
      <c r="F2305" s="335" t="inlineStr">
        <is>
          <t>1050</t>
        </is>
      </c>
    </row>
    <row r="2306">
      <c r="D2306" s="335" t="inlineStr">
        <is>
          <t>2218</t>
        </is>
      </c>
      <c r="E2306" s="335" t="inlineStr">
        <is>
          <t>Kenyatta Market</t>
        </is>
      </c>
      <c r="F2306" s="335" t="inlineStr">
        <is>
          <t>1050</t>
        </is>
      </c>
    </row>
    <row r="2307">
      <c r="D2307" s="335" t="inlineStr">
        <is>
          <t>2227</t>
        </is>
      </c>
      <c r="E2307" s="335" t="inlineStr">
        <is>
          <t>Kisumu</t>
        </is>
      </c>
      <c r="F2307" s="335" t="inlineStr">
        <is>
          <t>1050</t>
        </is>
      </c>
    </row>
    <row r="2308">
      <c r="D2308" s="335" t="inlineStr">
        <is>
          <t>2226</t>
        </is>
      </c>
      <c r="E2308" s="335" t="inlineStr">
        <is>
          <t>Meru</t>
        </is>
      </c>
      <c r="F2308" s="335" t="inlineStr">
        <is>
          <t>1050</t>
        </is>
      </c>
    </row>
    <row r="2309">
      <c r="D2309" s="335" t="inlineStr">
        <is>
          <t>2221</t>
        </is>
      </c>
      <c r="E2309" s="335" t="inlineStr">
        <is>
          <t>Mombasa</t>
        </is>
      </c>
      <c r="F2309" s="335" t="inlineStr">
        <is>
          <t>1050</t>
        </is>
      </c>
    </row>
    <row r="2310">
      <c r="D2310" s="335" t="inlineStr">
        <is>
          <t>2222</t>
        </is>
      </c>
      <c r="E2310" s="335" t="inlineStr">
        <is>
          <t>Nakuru</t>
        </is>
      </c>
      <c r="F2310" s="335" t="inlineStr">
        <is>
          <t>1050</t>
        </is>
      </c>
    </row>
    <row r="2311">
      <c r="D2311" s="335" t="inlineStr">
        <is>
          <t>2225</t>
        </is>
      </c>
      <c r="E2311" s="335" t="inlineStr">
        <is>
          <t>Nyeri</t>
        </is>
      </c>
      <c r="F2311" s="335" t="inlineStr">
        <is>
          <t>1050</t>
        </is>
      </c>
    </row>
    <row r="2312">
      <c r="D2312" s="335" t="inlineStr">
        <is>
          <t>2217</t>
        </is>
      </c>
      <c r="E2312" s="335" t="inlineStr">
        <is>
          <t>Rehani House</t>
        </is>
      </c>
      <c r="F2312" s="335" t="inlineStr">
        <is>
          <t>1050</t>
        </is>
      </c>
    </row>
    <row r="2313">
      <c r="D2313" s="335" t="inlineStr">
        <is>
          <t>2224</t>
        </is>
      </c>
      <c r="E2313" s="335" t="inlineStr">
        <is>
          <t>Thika</t>
        </is>
      </c>
      <c r="F2313" s="335" t="inlineStr">
        <is>
          <t>1050</t>
        </is>
      </c>
    </row>
    <row r="2314">
      <c r="D2314" s="336" t="inlineStr">
        <is>
          <t>2174</t>
        </is>
      </c>
      <c r="E2314" s="336" t="inlineStr">
        <is>
          <t>Banana</t>
        </is>
      </c>
      <c r="F2314" s="336" t="inlineStr">
        <is>
          <t>1051</t>
        </is>
      </c>
    </row>
    <row r="2315">
      <c r="D2315" s="336" t="inlineStr">
        <is>
          <t>2171</t>
        </is>
      </c>
      <c r="E2315" s="336" t="inlineStr">
        <is>
          <t>Funzi Road</t>
        </is>
      </c>
      <c r="F2315" s="336" t="inlineStr">
        <is>
          <t>1051</t>
        </is>
      </c>
    </row>
    <row r="2316">
      <c r="D2316" s="336" t="inlineStr">
        <is>
          <t>2163</t>
        </is>
      </c>
      <c r="E2316" s="336" t="inlineStr">
        <is>
          <t>Head Office</t>
        </is>
      </c>
      <c r="F2316" s="336" t="inlineStr">
        <is>
          <t>1051</t>
        </is>
      </c>
    </row>
    <row r="2317">
      <c r="D2317" s="336" t="inlineStr">
        <is>
          <t>2170</t>
        </is>
      </c>
      <c r="E2317" s="336" t="inlineStr">
        <is>
          <t>Kariobangi</t>
        </is>
      </c>
      <c r="F2317" s="336" t="inlineStr">
        <is>
          <t>1051</t>
        </is>
      </c>
    </row>
    <row r="2318">
      <c r="D2318" s="336" t="inlineStr">
        <is>
          <t>2168</t>
        </is>
      </c>
      <c r="E2318" s="336" t="inlineStr">
        <is>
          <t>Kawangware</t>
        </is>
      </c>
      <c r="F2318" s="336" t="inlineStr">
        <is>
          <t>1051</t>
        </is>
      </c>
    </row>
    <row r="2319">
      <c r="D2319" s="336" t="inlineStr">
        <is>
          <t>2166</t>
        </is>
      </c>
      <c r="E2319" s="336" t="inlineStr">
        <is>
          <t>Kayole</t>
        </is>
      </c>
      <c r="F2319" s="336" t="inlineStr">
        <is>
          <t>1051</t>
        </is>
      </c>
    </row>
    <row r="2320">
      <c r="D2320" s="336" t="inlineStr">
        <is>
          <t>2169</t>
        </is>
      </c>
      <c r="E2320" s="336" t="inlineStr">
        <is>
          <t>Kibera</t>
        </is>
      </c>
      <c r="F2320" s="336" t="inlineStr">
        <is>
          <t>1051</t>
        </is>
      </c>
    </row>
    <row r="2321">
      <c r="D2321" s="336" t="inlineStr">
        <is>
          <t>2173</t>
        </is>
      </c>
      <c r="E2321" s="336" t="inlineStr">
        <is>
          <t>Kikuyu</t>
        </is>
      </c>
      <c r="F2321" s="336" t="inlineStr">
        <is>
          <t>1051</t>
        </is>
      </c>
    </row>
    <row r="2322">
      <c r="D2322" s="336" t="inlineStr">
        <is>
          <t>2165</t>
        </is>
      </c>
      <c r="E2322" s="336" t="inlineStr">
        <is>
          <t>Kiongozi</t>
        </is>
      </c>
      <c r="F2322" s="336" t="inlineStr">
        <is>
          <t>1051</t>
        </is>
      </c>
    </row>
    <row r="2323">
      <c r="D2323" s="336" t="inlineStr">
        <is>
          <t>2175</t>
        </is>
      </c>
      <c r="E2323" s="336" t="inlineStr">
        <is>
          <t>Kisumu</t>
        </is>
      </c>
      <c r="F2323" s="336" t="inlineStr">
        <is>
          <t>1051</t>
        </is>
      </c>
    </row>
    <row r="2324">
      <c r="D2324" s="336" t="inlineStr">
        <is>
          <t>2164</t>
        </is>
      </c>
      <c r="E2324" s="336" t="inlineStr">
        <is>
          <t>Koinange Street</t>
        </is>
      </c>
      <c r="F2324" s="336" t="inlineStr">
        <is>
          <t>1051</t>
        </is>
      </c>
    </row>
    <row r="2325">
      <c r="D2325" s="336" t="inlineStr">
        <is>
          <t>2167</t>
        </is>
      </c>
      <c r="E2325" s="336" t="inlineStr">
        <is>
          <t>Mathare</t>
        </is>
      </c>
      <c r="F2325" s="336" t="inlineStr">
        <is>
          <t>1051</t>
        </is>
      </c>
    </row>
    <row r="2326">
      <c r="D2326" s="336" t="inlineStr">
        <is>
          <t>2177</t>
        </is>
      </c>
      <c r="E2326" s="336" t="inlineStr">
        <is>
          <t>Mombasa</t>
        </is>
      </c>
      <c r="F2326" s="336" t="inlineStr">
        <is>
          <t>1051</t>
        </is>
      </c>
    </row>
    <row r="2327">
      <c r="D2327" s="336" t="inlineStr">
        <is>
          <t>2176</t>
        </is>
      </c>
      <c r="E2327" s="336" t="inlineStr">
        <is>
          <t>Ongata Rongai</t>
        </is>
      </c>
      <c r="F2327" s="336" t="inlineStr">
        <is>
          <t>1051</t>
        </is>
      </c>
    </row>
    <row r="2328">
      <c r="D2328" s="336" t="inlineStr">
        <is>
          <t>2172</t>
        </is>
      </c>
      <c r="E2328" s="336" t="inlineStr">
        <is>
          <t>Thika</t>
        </is>
      </c>
      <c r="F2328" s="336" t="inlineStr">
        <is>
          <t>1051</t>
        </is>
      </c>
    </row>
    <row r="2329">
      <c r="D2329" s="335" t="inlineStr">
        <is>
          <t>2543</t>
        </is>
      </c>
      <c r="E2329" s="335" t="inlineStr">
        <is>
          <t>AFYA CENTRE POSTBANK BRAN</t>
        </is>
      </c>
      <c r="F2329" s="335" t="inlineStr">
        <is>
          <t>1052</t>
        </is>
      </c>
    </row>
    <row r="2330">
      <c r="D2330" s="335" t="inlineStr">
        <is>
          <t>2528</t>
        </is>
      </c>
      <c r="E2330" s="335" t="inlineStr">
        <is>
          <t>ATHI RIVER</t>
        </is>
      </c>
      <c r="F2330" s="335" t="inlineStr">
        <is>
          <t>1052</t>
        </is>
      </c>
    </row>
    <row r="2331">
      <c r="D2331" s="335" t="inlineStr">
        <is>
          <t>2574</t>
        </is>
      </c>
      <c r="E2331" s="335" t="inlineStr">
        <is>
          <t>BOMET</t>
        </is>
      </c>
      <c r="F2331" s="335" t="inlineStr">
        <is>
          <t>1052</t>
        </is>
      </c>
    </row>
    <row r="2332">
      <c r="D2332" s="335" t="inlineStr">
        <is>
          <t>2590</t>
        </is>
      </c>
      <c r="E2332" s="335" t="inlineStr">
        <is>
          <t>BUNGOMA</t>
        </is>
      </c>
      <c r="F2332" s="335" t="inlineStr">
        <is>
          <t>1052</t>
        </is>
      </c>
    </row>
    <row r="2333">
      <c r="D2333" s="335" t="inlineStr">
        <is>
          <t>2591</t>
        </is>
      </c>
      <c r="E2333" s="335" t="inlineStr">
        <is>
          <t>BUSIA MARKET</t>
        </is>
      </c>
      <c r="F2333" s="335" t="inlineStr">
        <is>
          <t>1052</t>
        </is>
      </c>
    </row>
    <row r="2334">
      <c r="D2334" s="335" t="inlineStr">
        <is>
          <t>2542</t>
        </is>
      </c>
      <c r="E2334" s="335" t="inlineStr">
        <is>
          <t>CANON HOUSE BRANCH (NAIRO</t>
        </is>
      </c>
      <c r="F2334" s="335" t="inlineStr">
        <is>
          <t>1052</t>
        </is>
      </c>
    </row>
    <row r="2335">
      <c r="D2335" s="335" t="inlineStr">
        <is>
          <t>2527</t>
        </is>
      </c>
      <c r="E2335" s="335" t="inlineStr">
        <is>
          <t>CENTRAL</t>
        </is>
      </c>
      <c r="F2335" s="335" t="inlineStr">
        <is>
          <t>1052</t>
        </is>
      </c>
    </row>
    <row r="2336">
      <c r="D2336" s="335" t="inlineStr">
        <is>
          <t>2571</t>
        </is>
      </c>
      <c r="E2336" s="335" t="inlineStr">
        <is>
          <t>CHAANI</t>
        </is>
      </c>
      <c r="F2336" s="335" t="inlineStr">
        <is>
          <t>1052</t>
        </is>
      </c>
    </row>
    <row r="2337">
      <c r="D2337" s="335" t="inlineStr">
        <is>
          <t>2551</t>
        </is>
      </c>
      <c r="E2337" s="335" t="inlineStr">
        <is>
          <t>CHUKA</t>
        </is>
      </c>
      <c r="F2337" s="335" t="inlineStr">
        <is>
          <t>1052</t>
        </is>
      </c>
    </row>
    <row r="2338">
      <c r="D2338" s="335" t="inlineStr">
        <is>
          <t>2549</t>
        </is>
      </c>
      <c r="E2338" s="335" t="inlineStr">
        <is>
          <t>CUSTOMER SERVICE CENTRE</t>
        </is>
      </c>
      <c r="F2338" s="335" t="inlineStr">
        <is>
          <t>1052</t>
        </is>
      </c>
    </row>
    <row r="2339">
      <c r="D2339" s="335" t="inlineStr">
        <is>
          <t>2523</t>
        </is>
      </c>
      <c r="E2339" s="335" t="inlineStr">
        <is>
          <t>DANDORA POSTBANK BRANCH</t>
        </is>
      </c>
      <c r="F2339" s="335" t="inlineStr">
        <is>
          <t>1052</t>
        </is>
      </c>
    </row>
    <row r="2340">
      <c r="D2340" s="335" t="inlineStr">
        <is>
          <t>2509</t>
        </is>
      </c>
      <c r="E2340" s="335" t="inlineStr">
        <is>
          <t>EASTLEIGH</t>
        </is>
      </c>
      <c r="F2340" s="335" t="inlineStr">
        <is>
          <t>1052</t>
        </is>
      </c>
    </row>
    <row r="2341">
      <c r="D2341" s="335" t="inlineStr">
        <is>
          <t>2575</t>
        </is>
      </c>
      <c r="E2341" s="335" t="inlineStr">
        <is>
          <t>ELDAMA RAVINE</t>
        </is>
      </c>
      <c r="F2341" s="335" t="inlineStr">
        <is>
          <t>1052</t>
        </is>
      </c>
    </row>
    <row r="2342">
      <c r="D2342" s="335" t="inlineStr">
        <is>
          <t>2576</t>
        </is>
      </c>
      <c r="E2342" s="335" t="inlineStr">
        <is>
          <t>ELDORET</t>
        </is>
      </c>
      <c r="F2342" s="335" t="inlineStr">
        <is>
          <t>1052</t>
        </is>
      </c>
    </row>
    <row r="2343">
      <c r="D2343" s="335" t="inlineStr">
        <is>
          <t>2541</t>
        </is>
      </c>
      <c r="E2343" s="335" t="inlineStr">
        <is>
          <t>EMALI</t>
        </is>
      </c>
      <c r="F2343" s="335" t="inlineStr">
        <is>
          <t>1052</t>
        </is>
      </c>
    </row>
    <row r="2344">
      <c r="D2344" s="335" t="inlineStr">
        <is>
          <t>2552</t>
        </is>
      </c>
      <c r="E2344" s="335" t="inlineStr">
        <is>
          <t>EMBU</t>
        </is>
      </c>
      <c r="F2344" s="335" t="inlineStr">
        <is>
          <t>1052</t>
        </is>
      </c>
    </row>
    <row r="2345">
      <c r="D2345" s="335" t="inlineStr">
        <is>
          <t>2529</t>
        </is>
      </c>
      <c r="E2345" s="335" t="inlineStr">
        <is>
          <t>ENTERPRISE ROAD</t>
        </is>
      </c>
      <c r="F2345" s="335" t="inlineStr">
        <is>
          <t>1052</t>
        </is>
      </c>
    </row>
    <row r="2346">
      <c r="D2346" s="335" t="inlineStr">
        <is>
          <t>2510</t>
        </is>
      </c>
      <c r="E2346" s="335" t="inlineStr">
        <is>
          <t>GARISSA</t>
        </is>
      </c>
      <c r="F2346" s="335" t="inlineStr">
        <is>
          <t>1052</t>
        </is>
      </c>
    </row>
    <row r="2347">
      <c r="D2347" s="335" t="inlineStr">
        <is>
          <t>2577</t>
        </is>
      </c>
      <c r="E2347" s="335" t="inlineStr">
        <is>
          <t>GILGIL</t>
        </is>
      </c>
      <c r="F2347" s="335" t="inlineStr">
        <is>
          <t>1052</t>
        </is>
      </c>
    </row>
    <row r="2348">
      <c r="D2348" s="335" t="inlineStr">
        <is>
          <t>2522</t>
        </is>
      </c>
      <c r="E2348" s="335" t="inlineStr">
        <is>
          <t>GITHURAI BRANCH</t>
        </is>
      </c>
      <c r="F2348" s="335" t="inlineStr">
        <is>
          <t>1052</t>
        </is>
      </c>
    </row>
    <row r="2349">
      <c r="D2349" s="335" t="inlineStr">
        <is>
          <t>2592</t>
        </is>
      </c>
      <c r="E2349" s="335" t="inlineStr">
        <is>
          <t>HOMA-BAY</t>
        </is>
      </c>
      <c r="F2349" s="335" t="inlineStr">
        <is>
          <t>1052</t>
        </is>
      </c>
    </row>
    <row r="2350">
      <c r="D2350" s="335" t="inlineStr">
        <is>
          <t>2553</t>
        </is>
      </c>
      <c r="E2350" s="335" t="inlineStr">
        <is>
          <t>ISIOLO</t>
        </is>
      </c>
      <c r="F2350" s="335" t="inlineStr">
        <is>
          <t>1052</t>
        </is>
      </c>
    </row>
    <row r="2351">
      <c r="D2351" s="335" t="inlineStr">
        <is>
          <t>2545</t>
        </is>
      </c>
      <c r="E2351" s="335" t="inlineStr">
        <is>
          <t>JOGOO ROAD</t>
        </is>
      </c>
      <c r="F2351" s="335" t="inlineStr">
        <is>
          <t>1052</t>
        </is>
      </c>
    </row>
    <row r="2352">
      <c r="D2352" s="335" t="inlineStr">
        <is>
          <t>2578</t>
        </is>
      </c>
      <c r="E2352" s="335" t="inlineStr">
        <is>
          <t>KABARNET</t>
        </is>
      </c>
      <c r="F2352" s="335" t="inlineStr">
        <is>
          <t>1052</t>
        </is>
      </c>
    </row>
    <row r="2353">
      <c r="D2353" s="335" t="inlineStr">
        <is>
          <t>2595</t>
        </is>
      </c>
      <c r="E2353" s="335" t="inlineStr">
        <is>
          <t>KAHANCHA</t>
        </is>
      </c>
      <c r="F2353" s="335" t="inlineStr">
        <is>
          <t>1052</t>
        </is>
      </c>
    </row>
    <row r="2354">
      <c r="D2354" s="335" t="inlineStr">
        <is>
          <t>2530</t>
        </is>
      </c>
      <c r="E2354" s="335" t="inlineStr">
        <is>
          <t>KAJIADO</t>
        </is>
      </c>
      <c r="F2354" s="335" t="inlineStr">
        <is>
          <t>1052</t>
        </is>
      </c>
    </row>
    <row r="2355">
      <c r="D2355" s="335" t="inlineStr">
        <is>
          <t>2593</t>
        </is>
      </c>
      <c r="E2355" s="335" t="inlineStr">
        <is>
          <t>KAKAMEGA</t>
        </is>
      </c>
      <c r="F2355" s="335" t="inlineStr">
        <is>
          <t>1052</t>
        </is>
      </c>
    </row>
    <row r="2356">
      <c r="D2356" s="335" t="inlineStr">
        <is>
          <t>2531</t>
        </is>
      </c>
      <c r="E2356" s="335" t="inlineStr">
        <is>
          <t>KANGUNDO</t>
        </is>
      </c>
      <c r="F2356" s="335" t="inlineStr">
        <is>
          <t>1052</t>
        </is>
      </c>
    </row>
    <row r="2357">
      <c r="D2357" s="335" t="inlineStr">
        <is>
          <t>2579</t>
        </is>
      </c>
      <c r="E2357" s="335" t="inlineStr">
        <is>
          <t>KAPENGURIA</t>
        </is>
      </c>
      <c r="F2357" s="335" t="inlineStr">
        <is>
          <t>1052</t>
        </is>
      </c>
    </row>
    <row r="2358">
      <c r="D2358" s="335" t="inlineStr">
        <is>
          <t>2580</t>
        </is>
      </c>
      <c r="E2358" s="335" t="inlineStr">
        <is>
          <t>KAPSABET</t>
        </is>
      </c>
      <c r="F2358" s="335" t="inlineStr">
        <is>
          <t>1052</t>
        </is>
      </c>
    </row>
    <row r="2359">
      <c r="D2359" s="335" t="inlineStr">
        <is>
          <t>2554</t>
        </is>
      </c>
      <c r="E2359" s="335" t="inlineStr">
        <is>
          <t>KARATINA</t>
        </is>
      </c>
      <c r="F2359" s="335" t="inlineStr">
        <is>
          <t>1052</t>
        </is>
      </c>
    </row>
    <row r="2360">
      <c r="D2360" s="335" t="inlineStr">
        <is>
          <t>2532</t>
        </is>
      </c>
      <c r="E2360" s="335" t="inlineStr">
        <is>
          <t>KAREN</t>
        </is>
      </c>
      <c r="F2360" s="335" t="inlineStr">
        <is>
          <t>1052</t>
        </is>
      </c>
    </row>
    <row r="2361">
      <c r="D2361" s="335" t="inlineStr">
        <is>
          <t>2526</t>
        </is>
      </c>
      <c r="E2361" s="335" t="inlineStr">
        <is>
          <t>KARIOBANGI BRANCH</t>
        </is>
      </c>
      <c r="F2361" s="335" t="inlineStr">
        <is>
          <t>1052</t>
        </is>
      </c>
    </row>
    <row r="2362">
      <c r="D2362" s="335" t="inlineStr">
        <is>
          <t>2511</t>
        </is>
      </c>
      <c r="E2362" s="335" t="inlineStr">
        <is>
          <t>KARURI</t>
        </is>
      </c>
      <c r="F2362" s="335" t="inlineStr">
        <is>
          <t>1052</t>
        </is>
      </c>
    </row>
    <row r="2363">
      <c r="D2363" s="335" t="inlineStr">
        <is>
          <t>2544</t>
        </is>
      </c>
      <c r="E2363" s="335" t="inlineStr">
        <is>
          <t>KENYATTA MARKET BRANCH</t>
        </is>
      </c>
      <c r="F2363" s="335" t="inlineStr">
        <is>
          <t>1052</t>
        </is>
      </c>
    </row>
    <row r="2364">
      <c r="D2364" s="335" t="inlineStr">
        <is>
          <t>2581</t>
        </is>
      </c>
      <c r="E2364" s="335" t="inlineStr">
        <is>
          <t>KERICHO</t>
        </is>
      </c>
      <c r="F2364" s="335" t="inlineStr">
        <is>
          <t>1052</t>
        </is>
      </c>
    </row>
    <row r="2365">
      <c r="D2365" s="335" t="inlineStr">
        <is>
          <t>2594</t>
        </is>
      </c>
      <c r="E2365" s="335" t="inlineStr">
        <is>
          <t>KEROKA</t>
        </is>
      </c>
      <c r="F2365" s="335" t="inlineStr">
        <is>
          <t>1052</t>
        </is>
      </c>
    </row>
    <row r="2366">
      <c r="D2366" s="335" t="inlineStr">
        <is>
          <t>2555</t>
        </is>
      </c>
      <c r="E2366" s="335" t="inlineStr">
        <is>
          <t>KERUGOYA</t>
        </is>
      </c>
      <c r="F2366" s="335" t="inlineStr">
        <is>
          <t>1052</t>
        </is>
      </c>
    </row>
    <row r="2367">
      <c r="D2367" s="335" t="inlineStr">
        <is>
          <t>2512</t>
        </is>
      </c>
      <c r="E2367" s="335" t="inlineStr">
        <is>
          <t>KIAMBU</t>
        </is>
      </c>
      <c r="F2367" s="335" t="inlineStr">
        <is>
          <t>1052</t>
        </is>
      </c>
    </row>
    <row r="2368">
      <c r="D2368" s="335" t="inlineStr">
        <is>
          <t>2533</t>
        </is>
      </c>
      <c r="E2368" s="335" t="inlineStr">
        <is>
          <t>KIBWEZI</t>
        </is>
      </c>
      <c r="F2368" s="335" t="inlineStr">
        <is>
          <t>1052</t>
        </is>
      </c>
    </row>
    <row r="2369">
      <c r="D2369" s="335" t="inlineStr">
        <is>
          <t>2513</t>
        </is>
      </c>
      <c r="E2369" s="335" t="inlineStr">
        <is>
          <t>KIKUYU</t>
        </is>
      </c>
      <c r="F2369" s="335" t="inlineStr">
        <is>
          <t>1052</t>
        </is>
      </c>
    </row>
    <row r="2370">
      <c r="D2370" s="335" t="inlineStr">
        <is>
          <t>2562</t>
        </is>
      </c>
      <c r="E2370" s="335" t="inlineStr">
        <is>
          <t>KILIFI</t>
        </is>
      </c>
      <c r="F2370" s="335" t="inlineStr">
        <is>
          <t>1052</t>
        </is>
      </c>
    </row>
    <row r="2371">
      <c r="D2371" s="335" t="inlineStr">
        <is>
          <t>2596</t>
        </is>
      </c>
      <c r="E2371" s="335" t="inlineStr">
        <is>
          <t>KISII</t>
        </is>
      </c>
      <c r="F2371" s="335" t="inlineStr">
        <is>
          <t>1052</t>
        </is>
      </c>
    </row>
    <row r="2372">
      <c r="D2372" s="335" t="inlineStr">
        <is>
          <t>2597</t>
        </is>
      </c>
      <c r="E2372" s="335" t="inlineStr">
        <is>
          <t>KISUMU</t>
        </is>
      </c>
      <c r="F2372" s="335" t="inlineStr">
        <is>
          <t>1052</t>
        </is>
      </c>
    </row>
    <row r="2373">
      <c r="D2373" s="335" t="inlineStr">
        <is>
          <t>2582</t>
        </is>
      </c>
      <c r="E2373" s="335" t="inlineStr">
        <is>
          <t>KITALE</t>
        </is>
      </c>
      <c r="F2373" s="335" t="inlineStr">
        <is>
          <t>1052</t>
        </is>
      </c>
    </row>
    <row r="2374">
      <c r="D2374" s="335" t="inlineStr">
        <is>
          <t>2550</t>
        </is>
      </c>
      <c r="E2374" s="335" t="inlineStr">
        <is>
          <t>KITENGELA BRANCH</t>
        </is>
      </c>
      <c r="F2374" s="335" t="inlineStr">
        <is>
          <t>1052</t>
        </is>
      </c>
    </row>
    <row r="2375">
      <c r="D2375" s="335" t="inlineStr">
        <is>
          <t>2534</t>
        </is>
      </c>
      <c r="E2375" s="335" t="inlineStr">
        <is>
          <t>KITUI</t>
        </is>
      </c>
      <c r="F2375" s="335" t="inlineStr">
        <is>
          <t>1052</t>
        </is>
      </c>
    </row>
    <row r="2376">
      <c r="D2376" s="335" t="inlineStr">
        <is>
          <t>2563</t>
        </is>
      </c>
      <c r="E2376" s="335" t="inlineStr">
        <is>
          <t>LIKONI</t>
        </is>
      </c>
      <c r="F2376" s="335" t="inlineStr">
        <is>
          <t>1052</t>
        </is>
      </c>
    </row>
    <row r="2377">
      <c r="D2377" s="335" t="inlineStr">
        <is>
          <t>2514</t>
        </is>
      </c>
      <c r="E2377" s="335" t="inlineStr">
        <is>
          <t>LIMURU</t>
        </is>
      </c>
      <c r="F2377" s="335" t="inlineStr">
        <is>
          <t>1052</t>
        </is>
      </c>
    </row>
    <row r="2378">
      <c r="D2378" s="335" t="inlineStr">
        <is>
          <t>2583</t>
        </is>
      </c>
      <c r="E2378" s="335" t="inlineStr">
        <is>
          <t>LODWAR</t>
        </is>
      </c>
      <c r="F2378" s="335" t="inlineStr">
        <is>
          <t>1052</t>
        </is>
      </c>
    </row>
    <row r="2379">
      <c r="D2379" s="335" t="inlineStr">
        <is>
          <t>2598</t>
        </is>
      </c>
      <c r="E2379" s="335" t="inlineStr">
        <is>
          <t>LUANDA</t>
        </is>
      </c>
      <c r="F2379" s="335" t="inlineStr">
        <is>
          <t>1052</t>
        </is>
      </c>
    </row>
    <row r="2380">
      <c r="D2380" s="335" t="inlineStr">
        <is>
          <t>2535</t>
        </is>
      </c>
      <c r="E2380" s="335" t="inlineStr">
        <is>
          <t>MACHAKOS</t>
        </is>
      </c>
      <c r="F2380" s="335" t="inlineStr">
        <is>
          <t>1052</t>
        </is>
      </c>
    </row>
    <row r="2381">
      <c r="D2381" s="335" t="inlineStr">
        <is>
          <t>2536</t>
        </is>
      </c>
      <c r="E2381" s="335" t="inlineStr">
        <is>
          <t>MAKUENI</t>
        </is>
      </c>
      <c r="F2381" s="335" t="inlineStr">
        <is>
          <t>1052</t>
        </is>
      </c>
    </row>
    <row r="2382">
      <c r="D2382" s="335" t="inlineStr">
        <is>
          <t>2564</t>
        </is>
      </c>
      <c r="E2382" s="335" t="inlineStr">
        <is>
          <t>MALINDI</t>
        </is>
      </c>
      <c r="F2382" s="335" t="inlineStr">
        <is>
          <t>1052</t>
        </is>
      </c>
    </row>
    <row r="2383">
      <c r="D2383" s="335" t="inlineStr">
        <is>
          <t>2565</t>
        </is>
      </c>
      <c r="E2383" s="335" t="inlineStr">
        <is>
          <t>MARIAKANI</t>
        </is>
      </c>
      <c r="F2383" s="335" t="inlineStr">
        <is>
          <t>1052</t>
        </is>
      </c>
    </row>
    <row r="2384">
      <c r="D2384" s="335" t="inlineStr">
        <is>
          <t>2524</t>
        </is>
      </c>
      <c r="E2384" s="335" t="inlineStr">
        <is>
          <t>MARKET BRANCH</t>
        </is>
      </c>
      <c r="F2384" s="335" t="inlineStr">
        <is>
          <t>1052</t>
        </is>
      </c>
    </row>
    <row r="2385">
      <c r="D2385" s="335" t="inlineStr">
        <is>
          <t>2515</t>
        </is>
      </c>
      <c r="E2385" s="335" t="inlineStr">
        <is>
          <t>MATUU</t>
        </is>
      </c>
      <c r="F2385" s="335" t="inlineStr">
        <is>
          <t>1052</t>
        </is>
      </c>
    </row>
    <row r="2386">
      <c r="D2386" s="335" t="inlineStr">
        <is>
          <t>2556</t>
        </is>
      </c>
      <c r="E2386" s="335" t="inlineStr">
        <is>
          <t>MAUA K</t>
        </is>
      </c>
      <c r="F2386" s="335" t="inlineStr">
        <is>
          <t>1052</t>
        </is>
      </c>
    </row>
    <row r="2387">
      <c r="D2387" s="335" t="inlineStr">
        <is>
          <t>2599</t>
        </is>
      </c>
      <c r="E2387" s="335" t="inlineStr">
        <is>
          <t>MBALE</t>
        </is>
      </c>
      <c r="F2387" s="335" t="inlineStr">
        <is>
          <t>1052</t>
        </is>
      </c>
    </row>
    <row r="2388">
      <c r="D2388" s="335" t="inlineStr">
        <is>
          <t>2557</t>
        </is>
      </c>
      <c r="E2388" s="335" t="inlineStr">
        <is>
          <t>MERU</t>
        </is>
      </c>
      <c r="F2388" s="335" t="inlineStr">
        <is>
          <t>1052</t>
        </is>
      </c>
    </row>
    <row r="2389">
      <c r="D2389" s="335" t="inlineStr">
        <is>
          <t>2548</t>
        </is>
      </c>
      <c r="E2389" s="335" t="inlineStr">
        <is>
          <t>MLOLONGO</t>
        </is>
      </c>
      <c r="F2389" s="335" t="inlineStr">
        <is>
          <t>1052</t>
        </is>
      </c>
    </row>
    <row r="2390">
      <c r="D2390" s="335" t="inlineStr">
        <is>
          <t>2573</t>
        </is>
      </c>
      <c r="E2390" s="335" t="inlineStr">
        <is>
          <t>MOI AVENUE BRANCH MOMBASA</t>
        </is>
      </c>
      <c r="F2390" s="335" t="inlineStr">
        <is>
          <t>1052</t>
        </is>
      </c>
    </row>
    <row r="2391">
      <c r="D2391" s="335" t="inlineStr">
        <is>
          <t>2584</t>
        </is>
      </c>
      <c r="E2391" s="335" t="inlineStr">
        <is>
          <t>MOLO</t>
        </is>
      </c>
      <c r="F2391" s="335" t="inlineStr">
        <is>
          <t>1052</t>
        </is>
      </c>
    </row>
    <row r="2392">
      <c r="D2392" s="335" t="inlineStr">
        <is>
          <t>2566</t>
        </is>
      </c>
      <c r="E2392" s="335" t="inlineStr">
        <is>
          <t>MOMBASA</t>
        </is>
      </c>
      <c r="F2392" s="335" t="inlineStr">
        <is>
          <t>1052</t>
        </is>
      </c>
    </row>
    <row r="2393">
      <c r="D2393" s="335" t="inlineStr">
        <is>
          <t>2572</t>
        </is>
      </c>
      <c r="E2393" s="335" t="inlineStr">
        <is>
          <t>MTWAPA</t>
        </is>
      </c>
      <c r="F2393" s="335" t="inlineStr">
        <is>
          <t>1052</t>
        </is>
      </c>
    </row>
    <row r="2394">
      <c r="D2394" s="335" t="inlineStr">
        <is>
          <t>2600</t>
        </is>
      </c>
      <c r="E2394" s="335" t="inlineStr">
        <is>
          <t>MUMIAS</t>
        </is>
      </c>
      <c r="F2394" s="335" t="inlineStr">
        <is>
          <t>1052</t>
        </is>
      </c>
    </row>
    <row r="2395">
      <c r="D2395" s="335" t="inlineStr">
        <is>
          <t>2558</t>
        </is>
      </c>
      <c r="E2395" s="335" t="inlineStr">
        <is>
          <t>MURANGA</t>
        </is>
      </c>
      <c r="F2395" s="335" t="inlineStr">
        <is>
          <t>1052</t>
        </is>
      </c>
    </row>
    <row r="2396">
      <c r="D2396" s="335" t="inlineStr">
        <is>
          <t>2516</t>
        </is>
      </c>
      <c r="E2396" s="335" t="inlineStr">
        <is>
          <t>MWINGI</t>
        </is>
      </c>
      <c r="F2396" s="335" t="inlineStr">
        <is>
          <t>1052</t>
        </is>
      </c>
    </row>
    <row r="2397">
      <c r="D2397" s="335" t="inlineStr">
        <is>
          <t>2546</t>
        </is>
      </c>
      <c r="E2397" s="335" t="inlineStr">
        <is>
          <t>NACICO BRANCH</t>
        </is>
      </c>
      <c r="F2397" s="335" t="inlineStr">
        <is>
          <t>1052</t>
        </is>
      </c>
    </row>
    <row r="2398">
      <c r="D2398" s="335" t="inlineStr">
        <is>
          <t>2585</t>
        </is>
      </c>
      <c r="E2398" s="335" t="inlineStr">
        <is>
          <t>NAIVASHA</t>
        </is>
      </c>
      <c r="F2398" s="335" t="inlineStr">
        <is>
          <t>1052</t>
        </is>
      </c>
    </row>
    <row r="2399">
      <c r="D2399" s="335" t="inlineStr">
        <is>
          <t>2586</t>
        </is>
      </c>
      <c r="E2399" s="335" t="inlineStr">
        <is>
          <t>NAKURU</t>
        </is>
      </c>
      <c r="F2399" s="335" t="inlineStr">
        <is>
          <t>1052</t>
        </is>
      </c>
    </row>
    <row r="2400">
      <c r="D2400" s="335" t="inlineStr">
        <is>
          <t>2587</t>
        </is>
      </c>
      <c r="E2400" s="335" t="inlineStr">
        <is>
          <t>NANDI HILLS</t>
        </is>
      </c>
      <c r="F2400" s="335" t="inlineStr">
        <is>
          <t>1052</t>
        </is>
      </c>
    </row>
    <row r="2401">
      <c r="D2401" s="335" t="inlineStr">
        <is>
          <t>2559</t>
        </is>
      </c>
      <c r="E2401" s="335" t="inlineStr">
        <is>
          <t>NANYUKI</t>
        </is>
      </c>
      <c r="F2401" s="335" t="inlineStr">
        <is>
          <t>1052</t>
        </is>
      </c>
    </row>
    <row r="2402">
      <c r="D2402" s="335" t="inlineStr">
        <is>
          <t>2588</t>
        </is>
      </c>
      <c r="E2402" s="335" t="inlineStr">
        <is>
          <t>NAROK</t>
        </is>
      </c>
      <c r="F2402" s="335" t="inlineStr">
        <is>
          <t>1052</t>
        </is>
      </c>
    </row>
    <row r="2403">
      <c r="D2403" s="335" t="inlineStr">
        <is>
          <t>2517</t>
        </is>
      </c>
      <c r="E2403" s="335" t="inlineStr">
        <is>
          <t>NGARA ROAD</t>
        </is>
      </c>
      <c r="F2403" s="335" t="inlineStr">
        <is>
          <t>1052</t>
        </is>
      </c>
    </row>
    <row r="2404">
      <c r="D2404" s="335" t="inlineStr">
        <is>
          <t>2537</t>
        </is>
      </c>
      <c r="E2404" s="335" t="inlineStr">
        <is>
          <t>NGONG HILLS</t>
        </is>
      </c>
      <c r="F2404" s="335" t="inlineStr">
        <is>
          <t>1052</t>
        </is>
      </c>
    </row>
    <row r="2405">
      <c r="D2405" s="335" t="inlineStr">
        <is>
          <t>2589</t>
        </is>
      </c>
      <c r="E2405" s="335" t="inlineStr">
        <is>
          <t>NYAHURURU</t>
        </is>
      </c>
      <c r="F2405" s="335" t="inlineStr">
        <is>
          <t>1052</t>
        </is>
      </c>
    </row>
    <row r="2406">
      <c r="D2406" s="335" t="inlineStr">
        <is>
          <t>2601</t>
        </is>
      </c>
      <c r="E2406" s="335" t="inlineStr">
        <is>
          <t>NYAMIRA</t>
        </is>
      </c>
      <c r="F2406" s="335" t="inlineStr">
        <is>
          <t>1052</t>
        </is>
      </c>
    </row>
    <row r="2407">
      <c r="D2407" s="335" t="inlineStr">
        <is>
          <t>2560</t>
        </is>
      </c>
      <c r="E2407" s="335" t="inlineStr">
        <is>
          <t>NYERI BRANCH</t>
        </is>
      </c>
      <c r="F2407" s="335" t="inlineStr">
        <is>
          <t>1052</t>
        </is>
      </c>
    </row>
    <row r="2408">
      <c r="D2408" s="335" t="inlineStr">
        <is>
          <t>2547</t>
        </is>
      </c>
      <c r="E2408" s="335" t="inlineStr">
        <is>
          <t>ONGATA RONGAI</t>
        </is>
      </c>
      <c r="F2408" s="335" t="inlineStr">
        <is>
          <t>1052</t>
        </is>
      </c>
    </row>
    <row r="2409">
      <c r="D2409" s="335" t="inlineStr">
        <is>
          <t>2602</t>
        </is>
      </c>
      <c r="E2409" s="335" t="inlineStr">
        <is>
          <t>OYUGIS</t>
        </is>
      </c>
      <c r="F2409" s="335" t="inlineStr">
        <is>
          <t>1052</t>
        </is>
      </c>
    </row>
    <row r="2410">
      <c r="D2410" s="335" t="inlineStr">
        <is>
          <t>2540</t>
        </is>
      </c>
      <c r="E2410" s="335" t="inlineStr">
        <is>
          <t>RONALD NGALA</t>
        </is>
      </c>
      <c r="F2410" s="335" t="inlineStr">
        <is>
          <t>1052</t>
        </is>
      </c>
    </row>
    <row r="2411">
      <c r="D2411" s="335" t="inlineStr">
        <is>
          <t>2518</t>
        </is>
      </c>
      <c r="E2411" s="335" t="inlineStr">
        <is>
          <t>RUIRU</t>
        </is>
      </c>
      <c r="F2411" s="335" t="inlineStr">
        <is>
          <t>1052</t>
        </is>
      </c>
    </row>
    <row r="2412">
      <c r="D2412" s="335" t="inlineStr">
        <is>
          <t>2603</t>
        </is>
      </c>
      <c r="E2412" s="335" t="inlineStr">
        <is>
          <t>SARE</t>
        </is>
      </c>
      <c r="F2412" s="335" t="inlineStr">
        <is>
          <t>1052</t>
        </is>
      </c>
    </row>
    <row r="2413">
      <c r="D2413" s="335" t="inlineStr">
        <is>
          <t>2604</t>
        </is>
      </c>
      <c r="E2413" s="335" t="inlineStr">
        <is>
          <t>SIAYA</t>
        </is>
      </c>
      <c r="F2413" s="335" t="inlineStr">
        <is>
          <t>1052</t>
        </is>
      </c>
    </row>
    <row r="2414">
      <c r="D2414" s="335" t="inlineStr">
        <is>
          <t>2605</t>
        </is>
      </c>
      <c r="E2414" s="335" t="inlineStr">
        <is>
          <t>SUNA</t>
        </is>
      </c>
      <c r="F2414" s="335" t="inlineStr">
        <is>
          <t>1052</t>
        </is>
      </c>
    </row>
    <row r="2415">
      <c r="D2415" s="335" t="inlineStr">
        <is>
          <t>2567</t>
        </is>
      </c>
      <c r="E2415" s="335" t="inlineStr">
        <is>
          <t>TAVETA</t>
        </is>
      </c>
      <c r="F2415" s="335" t="inlineStr">
        <is>
          <t>1052</t>
        </is>
      </c>
    </row>
    <row r="2416">
      <c r="D2416" s="335" t="inlineStr">
        <is>
          <t>2519</t>
        </is>
      </c>
      <c r="E2416" s="335" t="inlineStr">
        <is>
          <t>THIKA</t>
        </is>
      </c>
      <c r="F2416" s="335" t="inlineStr">
        <is>
          <t>1052</t>
        </is>
      </c>
    </row>
    <row r="2417">
      <c r="D2417" s="335" t="inlineStr">
        <is>
          <t>2538</t>
        </is>
      </c>
      <c r="E2417" s="335" t="inlineStr">
        <is>
          <t>TOM MBOYA STREET</t>
        </is>
      </c>
      <c r="F2417" s="335" t="inlineStr">
        <is>
          <t>1052</t>
        </is>
      </c>
    </row>
    <row r="2418">
      <c r="D2418" s="335" t="inlineStr">
        <is>
          <t>2525</t>
        </is>
      </c>
      <c r="E2418" s="335" t="inlineStr">
        <is>
          <t>UCHUMI ADAMS ARCADE BRANC</t>
        </is>
      </c>
      <c r="F2418" s="335" t="inlineStr">
        <is>
          <t>1052</t>
        </is>
      </c>
    </row>
    <row r="2419">
      <c r="D2419" s="335" t="inlineStr">
        <is>
          <t>2568</t>
        </is>
      </c>
      <c r="E2419" s="335" t="inlineStr">
        <is>
          <t>UKUNDA</t>
        </is>
      </c>
      <c r="F2419" s="335" t="inlineStr">
        <is>
          <t>1052</t>
        </is>
      </c>
    </row>
    <row r="2420">
      <c r="D2420" s="335" t="inlineStr">
        <is>
          <t>2521</t>
        </is>
      </c>
      <c r="E2420" s="335" t="inlineStr">
        <is>
          <t>UTHIRU</t>
        </is>
      </c>
      <c r="F2420" s="335" t="inlineStr">
        <is>
          <t>1052</t>
        </is>
      </c>
    </row>
    <row r="2421">
      <c r="D2421" s="335" t="inlineStr">
        <is>
          <t>2539</t>
        </is>
      </c>
      <c r="E2421" s="335" t="inlineStr">
        <is>
          <t>VIWANDANI</t>
        </is>
      </c>
      <c r="F2421" s="335" t="inlineStr">
        <is>
          <t>1052</t>
        </is>
      </c>
    </row>
    <row r="2422">
      <c r="D2422" s="335" t="inlineStr">
        <is>
          <t>2569</t>
        </is>
      </c>
      <c r="E2422" s="335" t="inlineStr">
        <is>
          <t>VOI</t>
        </is>
      </c>
      <c r="F2422" s="335" t="inlineStr">
        <is>
          <t>1052</t>
        </is>
      </c>
    </row>
    <row r="2423">
      <c r="D2423" s="335" t="inlineStr">
        <is>
          <t>2561</t>
        </is>
      </c>
      <c r="E2423" s="335" t="inlineStr">
        <is>
          <t>WANGURU</t>
        </is>
      </c>
      <c r="F2423" s="335" t="inlineStr">
        <is>
          <t>1052</t>
        </is>
      </c>
    </row>
    <row r="2424">
      <c r="D2424" s="335" t="inlineStr">
        <is>
          <t>2570</t>
        </is>
      </c>
      <c r="E2424" s="335" t="inlineStr">
        <is>
          <t>WATAMU</t>
        </is>
      </c>
      <c r="F2424" s="335" t="inlineStr">
        <is>
          <t>1052</t>
        </is>
      </c>
    </row>
    <row r="2425">
      <c r="D2425" s="335" t="inlineStr">
        <is>
          <t>2606</t>
        </is>
      </c>
      <c r="E2425" s="335" t="inlineStr">
        <is>
          <t>WEBUYE</t>
        </is>
      </c>
      <c r="F2425" s="335" t="inlineStr">
        <is>
          <t>1052</t>
        </is>
      </c>
    </row>
    <row r="2426">
      <c r="D2426" s="335" t="inlineStr">
        <is>
          <t>2520</t>
        </is>
      </c>
      <c r="E2426" s="335" t="inlineStr">
        <is>
          <t>WESTLANDS</t>
        </is>
      </c>
      <c r="F2426" s="335" t="inlineStr">
        <is>
          <t>1052</t>
        </is>
      </c>
    </row>
    <row r="2427">
      <c r="D2427" s="336" t="inlineStr">
        <is>
          <t>2619</t>
        </is>
      </c>
      <c r="E2427" s="336" t="inlineStr">
        <is>
          <t>AIRTEL MONEY</t>
        </is>
      </c>
      <c r="F2427" s="336" t="inlineStr">
        <is>
          <t>1054</t>
        </is>
      </c>
    </row>
    <row r="2428">
      <c r="D2428" s="336" t="inlineStr">
        <is>
          <t>2622</t>
        </is>
      </c>
      <c r="E2428" s="336" t="inlineStr">
        <is>
          <t>ELMA</t>
        </is>
      </c>
      <c r="F2428" s="336" t="inlineStr">
        <is>
          <t>1054</t>
        </is>
      </c>
    </row>
    <row r="2429">
      <c r="D2429" s="336" t="inlineStr">
        <is>
          <t>2618</t>
        </is>
      </c>
      <c r="E2429" s="336" t="inlineStr">
        <is>
          <t>MPESA</t>
        </is>
      </c>
      <c r="F2429" s="336" t="inlineStr">
        <is>
          <t>1054</t>
        </is>
      </c>
    </row>
    <row r="2430">
      <c r="D2430" s="336" t="inlineStr">
        <is>
          <t>2621</t>
        </is>
      </c>
      <c r="E2430" s="336" t="inlineStr">
        <is>
          <t>ORANGE MONEY</t>
        </is>
      </c>
      <c r="F2430" s="336" t="inlineStr">
        <is>
          <t>1054</t>
        </is>
      </c>
    </row>
    <row r="2431">
      <c r="D2431" s="336" t="inlineStr">
        <is>
          <t>2623</t>
        </is>
      </c>
      <c r="E2431" s="336" t="inlineStr">
        <is>
          <t>OTHERS</t>
        </is>
      </c>
      <c r="F2431" s="336" t="inlineStr">
        <is>
          <t>1054</t>
        </is>
      </c>
    </row>
    <row r="2432">
      <c r="D2432" s="336" t="inlineStr">
        <is>
          <t>2620</t>
        </is>
      </c>
      <c r="E2432" s="336" t="inlineStr">
        <is>
          <t>YU CASH</t>
        </is>
      </c>
      <c r="F2432" s="336" t="inlineStr">
        <is>
          <t>1054</t>
        </is>
      </c>
    </row>
  </sheetData>
  <sheetProtection selectLockedCells="0" selectUnlockedCells="0" algorithmName="SHA-512" sheet="1" objects="1" insertRows="1" insertHyperlinks="1" autoFilter="1" scenarios="1" formatColumns="1" deleteColumns="1" insertColumns="1" pivotTables="1" deleteRows="1" formatCells="1" saltValue="2eLV/dYkAY+CKJbsRxBlmg==" formatRows="1" sort="1" spinCount="100000" hashValue="jCXg5/ybHI1A5+pBAyQLggzELQOxIRDwdMe8a4DeP3KN9TIaN01kBe6JZbcjk5Mk1gI8AwZLQe696xcAjjW01w=="/>
  <dataValidations disablePrompts="1" count="1">
    <dataValidation sqref="E2:E4" showDropDown="1" showInputMessage="0" showErrorMessage="0" allowBlank="0" type="list" operator="equal">
      <formula1>BN1</formula1>
      <formula2>0</formula2>
    </dataValidation>
  </dataValidations>
  <pageMargins left="0.7" right="0.7" top="0.75" bottom="0.75" header="0.5118055555555555" footer="0.5118055555555555"/>
  <pageSetup orientation="portrait" paperSize="9" firstPageNumber="0" horizontalDpi="300" verticalDpi="300"/>
  <legacyDrawing r:id="anysvml"/>
</worksheet>
</file>

<file path=xl/worksheets/sheet2.xml><?xml version="1.0" encoding="utf-8"?>
<worksheet xmlns:r="http://schemas.openxmlformats.org/officeDocument/2006/relationships" xmlns="http://schemas.openxmlformats.org/spreadsheetml/2006/main">
  <sheetPr codeName="Sheet21">
    <outlinePr summaryBelow="1" summaryRight="1"/>
    <pageSetUpPr/>
  </sheetPr>
  <dimension ref="A1:C34"/>
  <sheetViews>
    <sheetView workbookViewId="0">
      <selection activeCell="B28" sqref="B28:C28"/>
    </sheetView>
  </sheetViews>
  <sheetFormatPr baseColWidth="10" defaultColWidth="0" defaultRowHeight="12.75" customHeight="1" zeroHeight="1"/>
  <cols>
    <col width="12.1640625" customWidth="1" style="7" min="1" max="2"/>
    <col width="115.5" customWidth="1" style="7" min="3" max="3"/>
    <col width="0.1640625" customWidth="1" style="7" min="4" max="4"/>
    <col hidden="1" width="13" customWidth="1" style="7" min="5" max="5"/>
    <col hidden="1" width="13" customWidth="1" style="7" min="6" max="16384"/>
  </cols>
  <sheetData>
    <row r="1" ht="16.5" customFormat="1" customHeight="1" s="127">
      <c r="A1" s="124" t="inlineStr">
        <is>
          <t>Help on Enable Macro (Enable Validate button):</t>
        </is>
      </c>
      <c r="B1" s="125" t="n"/>
      <c r="C1" s="126" t="n"/>
    </row>
    <row r="2" ht="15.75" customHeight="1" s="486">
      <c r="A2" s="8" t="n"/>
      <c r="B2" s="9" t="n"/>
      <c r="C2" s="10" t="n"/>
    </row>
    <row r="3" ht="15.75" customHeight="1" s="486">
      <c r="A3" s="311" t="inlineStr">
        <is>
          <t>FOR EXCEL 2010 :-</t>
        </is>
      </c>
      <c r="B3" s="312" t="n"/>
      <c r="C3" s="313" t="n"/>
    </row>
    <row r="4" ht="15.75" customHeight="1" s="486">
      <c r="A4" s="314" t="n"/>
      <c r="B4" s="315" t="inlineStr">
        <is>
          <t>To "Enable Macro" please follow steps below.</t>
        </is>
      </c>
      <c r="C4" s="316" t="n"/>
    </row>
    <row r="5" ht="15.75" customHeight="1" s="486">
      <c r="A5" s="314" t="n"/>
      <c r="B5" s="317" t="n">
        <v>1</v>
      </c>
      <c r="C5" s="318" t="inlineStr">
        <is>
          <t>Click the File Menu (Office BackStage), and then select Options from the left sidebar.</t>
        </is>
      </c>
    </row>
    <row r="6" ht="15.75" customHeight="1" s="486">
      <c r="A6" s="314" t="n"/>
      <c r="B6" s="317" t="n">
        <v>2</v>
      </c>
      <c r="C6" s="318" t="inlineStr">
        <is>
          <t>Click Trust Center, click Trust Center Settings, and then click Macro Settings.</t>
        </is>
      </c>
    </row>
    <row r="7" ht="15.75" customHeight="1" s="486">
      <c r="A7" s="314" t="n"/>
      <c r="B7" s="317" t="n">
        <v>3</v>
      </c>
      <c r="C7" s="318" t="inlineStr">
        <is>
          <t>Select "Enable all macros". Click on 'OK'.</t>
        </is>
      </c>
    </row>
    <row r="8" ht="15.75" customHeight="1" s="486">
      <c r="A8" s="314" t="n"/>
      <c r="B8" s="317" t="n">
        <v>4</v>
      </c>
      <c r="C8" s="318" t="inlineStr">
        <is>
          <t>Open the file again.</t>
        </is>
      </c>
    </row>
    <row r="9" ht="15.75" customHeight="1" s="486">
      <c r="A9" s="8" t="n"/>
      <c r="B9" s="9" t="n"/>
      <c r="C9" s="10" t="n"/>
    </row>
    <row r="10" ht="16.5" customHeight="1" s="486">
      <c r="A10" s="11" t="inlineStr">
        <is>
          <t>FOR EXCEL 2007 :</t>
        </is>
      </c>
      <c r="B10" s="9" t="n"/>
      <c r="C10" s="10" t="n"/>
    </row>
    <row r="11" ht="15.75" customHeight="1" s="486">
      <c r="A11" s="8" t="n"/>
      <c r="B11" s="9" t="inlineStr">
        <is>
          <t>To "Enable Macro" please follow steps below.</t>
        </is>
      </c>
      <c r="C11" s="10" t="n"/>
    </row>
    <row r="12" ht="16.5" customHeight="1" s="486">
      <c r="A12" s="8" t="n"/>
      <c r="B12" s="12" t="n">
        <v>1</v>
      </c>
      <c r="C12" s="13" t="inlineStr">
        <is>
          <t>Click the Microsoft Office Button                 , and then click Excel Options.</t>
        </is>
      </c>
    </row>
    <row r="13" ht="15.75" customHeight="1" s="486">
      <c r="A13" s="8" t="n"/>
      <c r="B13" s="12" t="n">
        <v>2</v>
      </c>
      <c r="C13" s="13" t="inlineStr">
        <is>
          <t>Click Trust Center, click Trust Center Settings, and then click Macro Settings.</t>
        </is>
      </c>
    </row>
    <row r="14" ht="15.75" customHeight="1" s="486">
      <c r="A14" s="8" t="n"/>
      <c r="B14" s="12" t="n">
        <v>3</v>
      </c>
      <c r="C14" s="13" t="inlineStr">
        <is>
          <t>Select "Enable all macros". Click on 'OK'.</t>
        </is>
      </c>
    </row>
    <row r="15" ht="15.75" customHeight="1" s="486">
      <c r="A15" s="8" t="n"/>
      <c r="B15" s="12" t="n">
        <v>4</v>
      </c>
      <c r="C15" s="13" t="inlineStr">
        <is>
          <t>Open the file again.</t>
        </is>
      </c>
    </row>
    <row r="16" ht="15.75" customHeight="1" s="486">
      <c r="A16" s="8" t="n"/>
      <c r="B16" s="9" t="n"/>
      <c r="C16" s="10" t="n"/>
    </row>
    <row r="17" ht="16.5" customHeight="1" s="486">
      <c r="A17" s="11" t="inlineStr">
        <is>
          <t>FOR OTHER EXCEL VERSIONS :</t>
        </is>
      </c>
      <c r="B17" s="9" t="n"/>
      <c r="C17" s="10" t="n"/>
    </row>
    <row r="18" ht="15.75" customHeight="1" s="486">
      <c r="A18" s="8" t="n"/>
      <c r="B18" s="9" t="inlineStr">
        <is>
          <t>To "Enable Macro" please follow steps below.</t>
        </is>
      </c>
      <c r="C18" s="10" t="n"/>
    </row>
    <row r="19" ht="17.25" customHeight="1" s="486">
      <c r="A19" s="8" t="n"/>
      <c r="B19" s="12" t="n">
        <v>1</v>
      </c>
      <c r="C19" s="13" t="inlineStr">
        <is>
          <t>Select the Tools menu option and then select Macro and Security. In the resulting Security dialog, set the security level to Low by clicking the Low radio button.</t>
        </is>
      </c>
    </row>
    <row r="20" ht="15" customHeight="1" s="486">
      <c r="A20" s="8" t="n"/>
      <c r="B20" s="12" t="n">
        <v>2</v>
      </c>
      <c r="C20" s="13" t="inlineStr">
        <is>
          <t>Close the file and any other instances of the application currently running on the computer (close all excel applications that also use the application you are currently running).</t>
        </is>
      </c>
    </row>
    <row r="21" ht="15.75" customHeight="1" s="486">
      <c r="A21" s="8" t="n"/>
      <c r="B21" s="12" t="n">
        <v>3</v>
      </c>
      <c r="C21" s="13" t="inlineStr">
        <is>
          <t>Open the file again.</t>
        </is>
      </c>
    </row>
    <row r="22" ht="16.5" customHeight="1" s="486">
      <c r="A22" s="8" t="n"/>
      <c r="B22" s="12" t="n">
        <v>4</v>
      </c>
      <c r="C22" s="13" t="inlineStr">
        <is>
          <t>Click the Enable button to allow the macro to run.</t>
        </is>
      </c>
    </row>
    <row r="23" ht="16.5" customHeight="1" s="486">
      <c r="A23" s="8" t="n"/>
      <c r="B23" s="9" t="n"/>
      <c r="C23" s="21" t="n"/>
    </row>
    <row r="24" ht="16.5" customHeight="1" s="486">
      <c r="A24" s="8" t="n"/>
      <c r="B24" s="157" t="n"/>
      <c r="C24" s="13" t="inlineStr">
        <is>
          <t>Fields marked in white color is enabled and data can be entered in that field.</t>
        </is>
      </c>
    </row>
    <row r="25" ht="16.5" customHeight="1" s="486">
      <c r="A25" s="8" t="n"/>
      <c r="B25" s="158" t="n"/>
      <c r="C25" s="13" t="inlineStr">
        <is>
          <t>Fields marked in Grey color is Disabled.</t>
        </is>
      </c>
    </row>
    <row r="26" ht="16.5" customHeight="1" s="486">
      <c r="A26" s="8" t="n"/>
      <c r="B26" s="159" t="n"/>
      <c r="C26" s="13" t="inlineStr">
        <is>
          <t xml:space="preserve">
Fields marked in Light Grey color is showing Description of field.</t>
        </is>
      </c>
    </row>
    <row r="27" ht="15.75" customHeight="1" s="486">
      <c r="A27" s="8" t="n"/>
      <c r="B27" s="9" t="n"/>
      <c r="C27" s="10" t="n"/>
    </row>
    <row r="28" ht="15.75" customHeight="1" s="486">
      <c r="A28" s="8" t="n"/>
      <c r="B28" s="480" t="inlineStr">
        <is>
          <t>Change your regional date option from "Control Panel --&gt; Region and Language" to "English(Unites States)"</t>
        </is>
      </c>
      <c r="C28" s="481" t="n"/>
    </row>
    <row r="29" ht="15.75" customHeight="1" s="486">
      <c r="A29" s="8" t="n"/>
      <c r="B29" s="9" t="n"/>
      <c r="C29" s="10" t="n"/>
    </row>
    <row r="30" ht="15.75" customHeight="1" s="486">
      <c r="A30" s="477" t="inlineStr">
        <is>
          <t>Please click on "validate" button to check errors in excel sheet. If there is no error in excel sheet then upload file gets generated.</t>
        </is>
      </c>
      <c r="B30" s="478" t="n"/>
      <c r="C30" s="479" t="n"/>
    </row>
    <row r="31" ht="31.5" customHeight="1" s="486">
      <c r="A31" s="476" t="inlineStr">
        <is>
          <t>Numeric fields in the whole sheet will accept numbers of length maximum 15 digits. In case if data is of length more than 15 digits, system shall accept '0' for digits after 15 characters</t>
        </is>
      </c>
      <c r="B31" s="474" t="n"/>
      <c r="C31" s="475" t="n"/>
    </row>
    <row r="32" ht="114.75" customHeight="1" s="486">
      <c r="A32" s="473" t="inlineStr">
        <is>
          <t>Note : 
While opening excle template in a MS Excel 2003, excel macro will not work properly. To avoid this problem, upgrade your
MS Excel 2003 version with Service Pack 3.
While opening excle template in a MS Excel 2007, excel macro will not work properly. To avoid this problem, upgrade your
MS Excel 2007 version with Service Pack 2.
While opening MS Excel 2003 template in a MS Excel 2007/2010 version for the first time, Due to security features of MS Excel macro will remain disable by default, you need to first enable macro in MS Excel 2007/2010 and reopen the template.</t>
        </is>
      </c>
      <c r="B32" s="474" t="n"/>
      <c r="C32" s="475" t="n"/>
    </row>
    <row r="33" ht="15.75" customHeight="1" s="486">
      <c r="A33" s="14" t="n"/>
      <c r="B33" s="15" t="n"/>
      <c r="C33" s="16" t="n"/>
    </row>
    <row r="34" ht="16.5" customFormat="1" customHeight="1" s="127">
      <c r="A34" s="124" t="n"/>
      <c r="B34" s="160" t="n"/>
      <c r="C34" s="126" t="n"/>
    </row>
  </sheetData>
  <sheetProtection selectLockedCells="0" selectUnlockedCells="0" algorithmName="SHA-512" sheet="1" objects="1" insertRows="1" insertHyperlinks="1" autoFilter="1" scenarios="1" formatColumns="1" deleteColumns="1" insertColumns="1" pivotTables="1" deleteRows="1" formatCells="1" saltValue="dcpc0bsI/4mEjSkGJEXTXg==" formatRows="1" sort="1" spinCount="100000" hashValue="H/hrRe61tFRD+GOEMCHwHUGl5YbLH4GbzItGHd7y6Z0G2TDWLpZj+WsjOrzrPVe+YMlg6eQrd1GirTdHiE9TDw=="/>
  <mergeCells count="4">
    <mergeCell ref="A32:C32"/>
    <mergeCell ref="A31:C31"/>
    <mergeCell ref="A30:C30"/>
    <mergeCell ref="B28:C28"/>
  </mergeCells>
  <pageMargins left="0.75" right="0.75" top="1" bottom="1" header="0.5118055555555555" footer="0.5118055555555555"/>
  <pageSetup orientation="portrait" firstPageNumber="0" horizontalDpi="300" verticalDpi="300"/>
  <drawing r:id="rId1"/>
</worksheet>
</file>

<file path=xl/worksheets/sheet3.xml><?xml version="1.0" encoding="utf-8"?>
<worksheet xmlns="http://schemas.openxmlformats.org/spreadsheetml/2006/main">
  <sheetPr codeName="Sheet2">
    <tabColor indexed="10"/>
    <outlinePr summaryBelow="1" summaryRight="1"/>
    <pageSetUpPr/>
  </sheetPr>
  <dimension ref="A1:F400"/>
  <sheetViews>
    <sheetView workbookViewId="0">
      <selection activeCell="C2" sqref="C2"/>
    </sheetView>
  </sheetViews>
  <sheetFormatPr baseColWidth="10" defaultColWidth="0" defaultRowHeight="16" zeroHeight="1"/>
  <cols>
    <col width="8.6640625" customWidth="1" style="121" min="1" max="1"/>
    <col width="39.6640625" customWidth="1" style="121" min="2" max="2"/>
    <col width="50.6640625" customWidth="1" style="253" min="3" max="3"/>
    <col width="60.6640625" customWidth="1" style="121" min="4" max="4"/>
    <col width="20.6640625" customWidth="1" style="121" min="5" max="5"/>
    <col hidden="1" width="13" customWidth="1" style="123" min="6" max="7"/>
    <col hidden="1" width="13" customWidth="1" style="123" min="8" max="16384"/>
  </cols>
  <sheetData>
    <row r="1" ht="26.25" customFormat="1" customHeight="1" s="120">
      <c r="A1" s="33" t="inlineStr">
        <is>
          <t>Sr. No.</t>
        </is>
      </c>
      <c r="B1" s="33" t="inlineStr">
        <is>
          <t>Section Name</t>
        </is>
      </c>
      <c r="C1" s="33" t="inlineStr">
        <is>
          <t>Field</t>
        </is>
      </c>
      <c r="D1" s="33" t="inlineStr">
        <is>
          <t>Error Description</t>
        </is>
      </c>
      <c r="E1" s="33" t="inlineStr">
        <is>
          <t>Reference Cell</t>
        </is>
      </c>
    </row>
    <row r="2">
      <c r="A2" s="162" t="n"/>
      <c r="B2" s="162" t="n"/>
      <c r="C2" s="254" t="n"/>
      <c r="D2" s="162" t="n"/>
      <c r="E2" s="162" t="n"/>
      <c r="F2" s="122" t="n"/>
    </row>
    <row r="3">
      <c r="A3" s="162" t="n"/>
      <c r="B3" s="162" t="n"/>
      <c r="C3" s="254" t="n"/>
      <c r="D3" s="162" t="n"/>
      <c r="E3" s="162" t="n"/>
      <c r="F3" s="122" t="n"/>
    </row>
    <row r="4">
      <c r="A4" s="162" t="n"/>
      <c r="B4" s="162" t="n"/>
      <c r="C4" s="254" t="n"/>
      <c r="D4" s="162" t="n"/>
      <c r="E4" s="162" t="n"/>
      <c r="F4" s="122" t="n"/>
    </row>
    <row r="5">
      <c r="A5" s="162" t="n"/>
      <c r="B5" s="162" t="n"/>
      <c r="C5" s="254" t="n"/>
      <c r="D5" s="162" t="n"/>
      <c r="E5" s="162" t="n"/>
      <c r="F5" s="122" t="n"/>
    </row>
    <row r="6">
      <c r="A6" s="162" t="n"/>
      <c r="B6" s="162" t="n"/>
      <c r="C6" s="254" t="n"/>
      <c r="D6" s="162" t="n"/>
      <c r="E6" s="162" t="n"/>
      <c r="F6" s="122" t="n"/>
    </row>
    <row r="7">
      <c r="A7" s="162" t="n"/>
      <c r="B7" s="162" t="n"/>
      <c r="C7" s="254" t="n"/>
      <c r="D7" s="162" t="n"/>
      <c r="E7" s="162" t="n"/>
      <c r="F7" s="122" t="n"/>
    </row>
    <row r="8">
      <c r="A8" s="162" t="n"/>
      <c r="B8" s="162" t="n"/>
      <c r="C8" s="254" t="n"/>
      <c r="D8" s="162" t="n"/>
      <c r="E8" s="162" t="n"/>
      <c r="F8" s="122" t="n"/>
    </row>
    <row r="9">
      <c r="A9" s="162" t="n"/>
      <c r="B9" s="162" t="n"/>
      <c r="C9" s="254" t="n"/>
      <c r="D9" s="162" t="n"/>
      <c r="E9" s="162" t="n"/>
      <c r="F9" s="122" t="n"/>
    </row>
    <row r="10">
      <c r="A10" s="162" t="n"/>
      <c r="B10" s="162" t="n"/>
      <c r="C10" s="254" t="n"/>
      <c r="D10" s="162" t="n"/>
      <c r="E10" s="162" t="n"/>
      <c r="F10" s="122" t="n"/>
    </row>
    <row r="11">
      <c r="A11" s="162" t="n"/>
      <c r="B11" s="162" t="n"/>
      <c r="C11" s="254" t="n"/>
      <c r="D11" s="162" t="n"/>
      <c r="E11" s="162" t="n"/>
      <c r="F11" s="122" t="n"/>
    </row>
    <row r="12">
      <c r="A12" s="162" t="n"/>
      <c r="B12" s="162" t="n"/>
      <c r="C12" s="254" t="n"/>
      <c r="D12" s="162" t="n"/>
      <c r="E12" s="162" t="n"/>
    </row>
    <row r="13">
      <c r="A13" s="162" t="n"/>
      <c r="B13" s="162" t="n"/>
      <c r="C13" s="254" t="n"/>
      <c r="D13" s="162" t="n"/>
      <c r="E13" s="162" t="n"/>
    </row>
    <row r="14">
      <c r="A14" s="162" t="n"/>
      <c r="B14" s="162" t="n"/>
      <c r="C14" s="254" t="n"/>
      <c r="D14" s="162" t="n"/>
      <c r="E14" s="162" t="n"/>
    </row>
    <row r="15">
      <c r="A15" s="162" t="n"/>
      <c r="B15" s="162" t="n"/>
      <c r="C15" s="254" t="n"/>
      <c r="D15" s="162" t="n"/>
      <c r="E15" s="162" t="n"/>
    </row>
    <row r="16">
      <c r="A16" s="162" t="n"/>
      <c r="B16" s="162" t="n"/>
      <c r="C16" s="254" t="n"/>
      <c r="D16" s="162" t="n"/>
      <c r="E16" s="162" t="n"/>
    </row>
    <row r="17">
      <c r="A17" s="162" t="n"/>
      <c r="B17" s="162" t="n"/>
      <c r="C17" s="254" t="n"/>
      <c r="D17" s="162" t="n"/>
      <c r="E17" s="162" t="n"/>
    </row>
    <row r="18">
      <c r="A18" s="162" t="n"/>
      <c r="B18" s="162" t="n"/>
      <c r="C18" s="254" t="n"/>
      <c r="D18" s="162" t="n"/>
      <c r="E18" s="162" t="n"/>
    </row>
    <row r="19">
      <c r="A19" s="162" t="n"/>
      <c r="B19" s="162" t="n"/>
      <c r="C19" s="254" t="n"/>
      <c r="D19" s="162" t="n"/>
      <c r="E19" s="162" t="n"/>
    </row>
    <row r="20">
      <c r="A20" s="162" t="n"/>
      <c r="B20" s="162" t="n"/>
      <c r="C20" s="254" t="n"/>
      <c r="D20" s="162" t="n"/>
      <c r="E20" s="162" t="n"/>
    </row>
    <row r="21">
      <c r="A21" s="162" t="n"/>
      <c r="B21" s="162" t="n"/>
      <c r="C21" s="254" t="n"/>
      <c r="D21" s="162" t="n"/>
      <c r="E21" s="162" t="n"/>
    </row>
    <row r="22">
      <c r="A22" s="162" t="n"/>
      <c r="B22" s="162" t="n"/>
      <c r="C22" s="254" t="n"/>
      <c r="D22" s="162" t="n"/>
      <c r="E22" s="162" t="n"/>
    </row>
    <row r="23">
      <c r="A23" s="162" t="n"/>
      <c r="B23" s="162" t="n"/>
      <c r="C23" s="254" t="n"/>
      <c r="D23" s="162" t="n"/>
      <c r="E23" s="162" t="n"/>
    </row>
    <row r="24">
      <c r="A24" s="162" t="n"/>
      <c r="B24" s="162" t="n"/>
      <c r="C24" s="254" t="n"/>
      <c r="D24" s="162" t="n"/>
      <c r="E24" s="162" t="n"/>
    </row>
    <row r="25">
      <c r="A25" s="162" t="n"/>
      <c r="B25" s="162" t="n"/>
      <c r="C25" s="254" t="n"/>
      <c r="D25" s="162" t="n"/>
      <c r="E25" s="162" t="n"/>
    </row>
    <row r="26">
      <c r="A26" s="162" t="n"/>
      <c r="B26" s="162" t="n"/>
      <c r="C26" s="254" t="n"/>
      <c r="D26" s="162" t="n"/>
      <c r="E26" s="162" t="n"/>
    </row>
    <row r="27">
      <c r="A27" s="162" t="n"/>
      <c r="B27" s="162" t="n"/>
      <c r="C27" s="254" t="n"/>
      <c r="D27" s="162" t="n"/>
      <c r="E27" s="162" t="n"/>
    </row>
    <row r="28">
      <c r="A28" s="162" t="n"/>
      <c r="B28" s="162" t="n"/>
      <c r="C28" s="254" t="n"/>
      <c r="D28" s="162" t="n"/>
      <c r="E28" s="162" t="n"/>
    </row>
    <row r="29">
      <c r="A29" s="162" t="n"/>
      <c r="B29" s="162" t="n"/>
      <c r="C29" s="254" t="n"/>
      <c r="D29" s="162" t="n"/>
      <c r="E29" s="162" t="n"/>
    </row>
    <row r="30">
      <c r="A30" s="162" t="n"/>
      <c r="B30" s="162" t="n"/>
      <c r="C30" s="254" t="n"/>
      <c r="D30" s="162" t="n"/>
      <c r="E30" s="162" t="n"/>
    </row>
    <row r="31">
      <c r="A31" s="162" t="n"/>
      <c r="B31" s="162" t="n"/>
      <c r="C31" s="254" t="n"/>
      <c r="D31" s="162" t="n"/>
      <c r="E31" s="162" t="n"/>
    </row>
    <row r="32">
      <c r="A32" s="162" t="n"/>
      <c r="B32" s="162" t="n"/>
      <c r="C32" s="254" t="n"/>
      <c r="D32" s="162" t="n"/>
      <c r="E32" s="162" t="n"/>
    </row>
    <row r="33">
      <c r="A33" s="162" t="n"/>
      <c r="B33" s="162" t="n"/>
      <c r="C33" s="254" t="n"/>
      <c r="D33" s="162" t="n"/>
      <c r="E33" s="162" t="n"/>
    </row>
    <row r="34">
      <c r="A34" s="162" t="n"/>
      <c r="B34" s="162" t="n"/>
      <c r="C34" s="254" t="n"/>
      <c r="D34" s="162" t="n"/>
      <c r="E34" s="162" t="n"/>
    </row>
    <row r="35">
      <c r="A35" s="162" t="n"/>
      <c r="B35" s="162" t="n"/>
      <c r="C35" s="254" t="n"/>
      <c r="D35" s="162" t="n"/>
      <c r="E35" s="162" t="n"/>
    </row>
    <row r="36">
      <c r="A36" s="162" t="n"/>
      <c r="B36" s="162" t="n"/>
      <c r="C36" s="254" t="n"/>
      <c r="D36" s="162" t="n"/>
      <c r="E36" s="162" t="n"/>
    </row>
    <row r="37">
      <c r="A37" s="162" t="n"/>
      <c r="B37" s="162" t="n"/>
      <c r="C37" s="254" t="n"/>
      <c r="D37" s="162" t="n"/>
      <c r="E37" s="162" t="n"/>
    </row>
    <row r="38">
      <c r="A38" s="162" t="n"/>
      <c r="B38" s="162" t="n"/>
      <c r="C38" s="254" t="n"/>
      <c r="D38" s="162" t="n"/>
      <c r="E38" s="162" t="n"/>
    </row>
    <row r="39">
      <c r="A39" s="162" t="n"/>
      <c r="B39" s="162" t="n"/>
      <c r="C39" s="254" t="n"/>
      <c r="D39" s="162" t="n"/>
      <c r="E39" s="162" t="n"/>
    </row>
    <row r="40">
      <c r="A40" s="162" t="n"/>
      <c r="B40" s="162" t="n"/>
      <c r="C40" s="254" t="n"/>
      <c r="D40" s="162" t="n"/>
      <c r="E40" s="162" t="n"/>
    </row>
    <row r="41">
      <c r="A41" s="162" t="n"/>
      <c r="B41" s="162" t="n"/>
      <c r="C41" s="254" t="n"/>
      <c r="D41" s="162" t="n"/>
      <c r="E41" s="162" t="n"/>
    </row>
    <row r="42">
      <c r="A42" s="162" t="n"/>
      <c r="B42" s="162" t="n"/>
      <c r="C42" s="254" t="n"/>
      <c r="D42" s="162" t="n"/>
      <c r="E42" s="162" t="n"/>
    </row>
    <row r="43">
      <c r="A43" s="162" t="n"/>
      <c r="B43" s="162" t="n"/>
      <c r="C43" s="254" t="n"/>
      <c r="D43" s="162" t="n"/>
      <c r="E43" s="162" t="n"/>
    </row>
    <row r="44">
      <c r="A44" s="162" t="n"/>
      <c r="B44" s="162" t="n"/>
      <c r="C44" s="254" t="n"/>
      <c r="D44" s="162" t="n"/>
      <c r="E44" s="162" t="n"/>
    </row>
    <row r="45">
      <c r="A45" s="162" t="n"/>
      <c r="B45" s="162" t="n"/>
      <c r="C45" s="254" t="n"/>
      <c r="D45" s="162" t="n"/>
      <c r="E45" s="162" t="n"/>
    </row>
    <row r="46">
      <c r="A46" s="162" t="n"/>
      <c r="B46" s="162" t="n"/>
      <c r="C46" s="254" t="n"/>
      <c r="D46" s="162" t="n"/>
      <c r="E46" s="162" t="n"/>
    </row>
    <row r="47">
      <c r="A47" s="162" t="n"/>
      <c r="B47" s="162" t="n"/>
      <c r="C47" s="254" t="n"/>
      <c r="D47" s="162" t="n"/>
      <c r="E47" s="162" t="n"/>
    </row>
    <row r="48">
      <c r="A48" s="162" t="n"/>
      <c r="B48" s="162" t="n"/>
      <c r="C48" s="254" t="n"/>
      <c r="D48" s="162" t="n"/>
      <c r="E48" s="162" t="n"/>
    </row>
    <row r="49">
      <c r="A49" s="162" t="n"/>
      <c r="B49" s="162" t="n"/>
      <c r="C49" s="254" t="n"/>
      <c r="D49" s="162" t="n"/>
      <c r="E49" s="162" t="n"/>
    </row>
    <row r="50">
      <c r="A50" s="162" t="n"/>
      <c r="B50" s="162" t="n"/>
      <c r="C50" s="254" t="n"/>
      <c r="D50" s="162" t="n"/>
      <c r="E50" s="162" t="n"/>
    </row>
    <row r="51">
      <c r="A51" s="162" t="n"/>
      <c r="B51" s="162" t="n"/>
      <c r="C51" s="254" t="n"/>
      <c r="D51" s="162" t="n"/>
      <c r="E51" s="162" t="n"/>
    </row>
    <row r="52">
      <c r="A52" s="162" t="n"/>
      <c r="B52" s="162" t="n"/>
      <c r="C52" s="254" t="n"/>
      <c r="D52" s="162" t="n"/>
      <c r="E52" s="162" t="n"/>
    </row>
    <row r="53">
      <c r="A53" s="162" t="n"/>
      <c r="B53" s="162" t="n"/>
      <c r="C53" s="254" t="n"/>
      <c r="D53" s="162" t="n"/>
      <c r="E53" s="162" t="n"/>
    </row>
    <row r="54">
      <c r="A54" s="162" t="n"/>
      <c r="B54" s="162" t="n"/>
      <c r="C54" s="254" t="n"/>
      <c r="D54" s="162" t="n"/>
      <c r="E54" s="162" t="n"/>
    </row>
    <row r="55">
      <c r="A55" s="162" t="n"/>
      <c r="B55" s="162" t="n"/>
      <c r="C55" s="254" t="n"/>
      <c r="D55" s="162" t="n"/>
      <c r="E55" s="162" t="n"/>
    </row>
    <row r="56">
      <c r="A56" s="162" t="n"/>
      <c r="B56" s="162" t="n"/>
      <c r="C56" s="254" t="n"/>
      <c r="D56" s="162" t="n"/>
      <c r="E56" s="162" t="n"/>
    </row>
    <row r="57">
      <c r="A57" s="162" t="n"/>
      <c r="B57" s="162" t="n"/>
      <c r="C57" s="254" t="n"/>
      <c r="D57" s="162" t="n"/>
      <c r="E57" s="162" t="n"/>
    </row>
    <row r="58">
      <c r="A58" s="162" t="n"/>
      <c r="B58" s="162" t="n"/>
      <c r="C58" s="254" t="n"/>
      <c r="D58" s="162" t="n"/>
      <c r="E58" s="162" t="n"/>
    </row>
    <row r="59">
      <c r="A59" s="162" t="n"/>
      <c r="B59" s="162" t="n"/>
      <c r="C59" s="254" t="n"/>
      <c r="D59" s="162" t="n"/>
      <c r="E59" s="162" t="n"/>
    </row>
    <row r="60">
      <c r="A60" s="162" t="n"/>
      <c r="B60" s="162" t="n"/>
      <c r="C60" s="254" t="n"/>
      <c r="D60" s="162" t="n"/>
      <c r="E60" s="162" t="n"/>
    </row>
    <row r="61">
      <c r="A61" s="162" t="n"/>
      <c r="B61" s="162" t="n"/>
      <c r="C61" s="254" t="n"/>
      <c r="D61" s="162" t="n"/>
      <c r="E61" s="162" t="n"/>
    </row>
    <row r="62">
      <c r="A62" s="162" t="n"/>
      <c r="B62" s="162" t="n"/>
      <c r="C62" s="254" t="n"/>
      <c r="D62" s="162" t="n"/>
      <c r="E62" s="162" t="n"/>
    </row>
    <row r="63">
      <c r="A63" s="162" t="n"/>
      <c r="B63" s="162" t="n"/>
      <c r="C63" s="254" t="n"/>
      <c r="D63" s="162" t="n"/>
      <c r="E63" s="162" t="n"/>
    </row>
    <row r="64">
      <c r="A64" s="162" t="n"/>
      <c r="B64" s="162" t="n"/>
      <c r="C64" s="254" t="n"/>
      <c r="D64" s="162" t="n"/>
      <c r="E64" s="162" t="n"/>
    </row>
    <row r="65">
      <c r="A65" s="162" t="n"/>
      <c r="B65" s="162" t="n"/>
      <c r="C65" s="254" t="n"/>
      <c r="D65" s="162" t="n"/>
      <c r="E65" s="162" t="n"/>
    </row>
    <row r="66">
      <c r="A66" s="162" t="n"/>
      <c r="B66" s="162" t="n"/>
      <c r="C66" s="254" t="n"/>
      <c r="D66" s="162" t="n"/>
      <c r="E66" s="162" t="n"/>
    </row>
    <row r="67">
      <c r="A67" s="162" t="n"/>
      <c r="B67" s="162" t="n"/>
      <c r="D67" s="162" t="n"/>
      <c r="E67" s="162" t="n"/>
    </row>
    <row r="68">
      <c r="A68" s="162" t="n"/>
      <c r="B68" s="162" t="n"/>
      <c r="D68" s="162" t="n"/>
      <c r="E68" s="162" t="n"/>
    </row>
    <row r="69">
      <c r="A69" s="162" t="n"/>
      <c r="B69" s="162" t="n"/>
      <c r="D69" s="162" t="n"/>
      <c r="E69" s="162" t="n"/>
    </row>
    <row r="70">
      <c r="A70" s="162" t="n"/>
      <c r="B70" s="162" t="n"/>
      <c r="D70" s="162" t="n"/>
      <c r="E70" s="162" t="n"/>
    </row>
    <row r="71">
      <c r="A71" s="162" t="n"/>
      <c r="B71" s="162" t="n"/>
      <c r="D71" s="162" t="n"/>
      <c r="E71" s="162" t="n"/>
    </row>
    <row r="72">
      <c r="A72" s="162" t="n"/>
      <c r="B72" s="162" t="n"/>
      <c r="D72" s="162" t="n"/>
      <c r="E72" s="162" t="n"/>
    </row>
    <row r="73">
      <c r="A73" s="162" t="n"/>
      <c r="B73" s="162" t="n"/>
      <c r="D73" s="162" t="n"/>
      <c r="E73" s="162" t="n"/>
    </row>
    <row r="74">
      <c r="A74" s="162" t="n"/>
      <c r="B74" s="162" t="n"/>
      <c r="D74" s="162" t="n"/>
      <c r="E74" s="162" t="n"/>
    </row>
    <row r="75">
      <c r="A75" s="162" t="n"/>
      <c r="B75" s="162" t="n"/>
      <c r="D75" s="162" t="n"/>
      <c r="E75" s="162" t="n"/>
    </row>
    <row r="76">
      <c r="A76" s="162" t="n"/>
      <c r="B76" s="162" t="n"/>
      <c r="D76" s="162" t="n"/>
      <c r="E76" s="162" t="n"/>
    </row>
    <row r="77">
      <c r="A77" s="162" t="n"/>
      <c r="B77" s="162" t="n"/>
      <c r="D77" s="162" t="n"/>
      <c r="E77" s="162" t="n"/>
    </row>
    <row r="78">
      <c r="A78" s="162" t="n"/>
      <c r="B78" s="162" t="n"/>
      <c r="D78" s="162" t="n"/>
      <c r="E78" s="162" t="n"/>
    </row>
    <row r="79">
      <c r="A79" s="162" t="n"/>
      <c r="B79" s="162" t="n"/>
      <c r="D79" s="162" t="n"/>
      <c r="E79" s="162" t="n"/>
    </row>
    <row r="80">
      <c r="A80" s="162" t="n"/>
      <c r="B80" s="162" t="n"/>
      <c r="D80" s="162" t="n"/>
      <c r="E80" s="162" t="n"/>
    </row>
    <row r="81">
      <c r="A81" s="162" t="n"/>
      <c r="B81" s="162" t="n"/>
      <c r="D81" s="162" t="n"/>
      <c r="E81" s="162" t="n"/>
    </row>
    <row r="82">
      <c r="A82" s="162" t="n"/>
      <c r="B82" s="162" t="n"/>
      <c r="D82" s="162" t="n"/>
      <c r="E82" s="162" t="n"/>
    </row>
    <row r="83">
      <c r="A83" s="162" t="n"/>
      <c r="B83" s="162" t="n"/>
      <c r="D83" s="162" t="n"/>
      <c r="E83" s="162" t="n"/>
    </row>
    <row r="84">
      <c r="A84" s="162" t="n"/>
      <c r="B84" s="162" t="n"/>
      <c r="D84" s="162" t="n"/>
      <c r="E84" s="162" t="n"/>
    </row>
    <row r="85">
      <c r="A85" s="162" t="n"/>
      <c r="B85" s="162" t="n"/>
      <c r="D85" s="162" t="n"/>
      <c r="E85" s="162" t="n"/>
    </row>
    <row r="86">
      <c r="A86" s="162" t="n"/>
      <c r="B86" s="162" t="n"/>
      <c r="D86" s="162" t="n"/>
      <c r="E86" s="162" t="n"/>
    </row>
    <row r="87">
      <c r="A87" s="162" t="n"/>
      <c r="B87" s="162" t="n"/>
      <c r="D87" s="162" t="n"/>
      <c r="E87" s="162" t="n"/>
    </row>
    <row r="88">
      <c r="A88" s="162" t="n"/>
      <c r="B88" s="162" t="n"/>
      <c r="D88" s="162" t="n"/>
      <c r="E88" s="162" t="n"/>
    </row>
    <row r="89">
      <c r="A89" s="162" t="n"/>
      <c r="B89" s="162" t="n"/>
      <c r="D89" s="162" t="n"/>
      <c r="E89" s="162" t="n"/>
    </row>
    <row r="90">
      <c r="A90" s="162" t="n"/>
      <c r="B90" s="162" t="n"/>
      <c r="D90" s="162" t="n"/>
      <c r="E90" s="162" t="n"/>
    </row>
    <row r="91">
      <c r="A91" s="162" t="n"/>
      <c r="B91" s="162" t="n"/>
      <c r="D91" s="162" t="n"/>
      <c r="E91" s="162" t="n"/>
    </row>
    <row r="92">
      <c r="A92" s="162" t="n"/>
      <c r="B92" s="162" t="n"/>
      <c r="D92" s="162" t="n"/>
      <c r="E92" s="162" t="n"/>
    </row>
    <row r="93">
      <c r="A93" s="162" t="n"/>
      <c r="B93" s="162" t="n"/>
      <c r="D93" s="162" t="n"/>
      <c r="E93" s="162" t="n"/>
    </row>
    <row r="94">
      <c r="A94" s="162" t="n"/>
      <c r="B94" s="162" t="n"/>
      <c r="D94" s="162" t="n"/>
      <c r="E94" s="162" t="n"/>
    </row>
    <row r="95">
      <c r="A95" s="162" t="n"/>
      <c r="B95" s="162" t="n"/>
      <c r="D95" s="162" t="n"/>
      <c r="E95" s="162" t="n"/>
    </row>
    <row r="96">
      <c r="A96" s="162" t="n"/>
      <c r="B96" s="162" t="n"/>
      <c r="D96" s="162" t="n"/>
      <c r="E96" s="162" t="n"/>
    </row>
    <row r="97">
      <c r="A97" s="162" t="n"/>
      <c r="B97" s="162" t="n"/>
      <c r="D97" s="162" t="n"/>
      <c r="E97" s="162" t="n"/>
    </row>
    <row r="98">
      <c r="A98" s="162" t="n"/>
      <c r="B98" s="162" t="n"/>
      <c r="D98" s="162" t="n"/>
      <c r="E98" s="162" t="n"/>
    </row>
    <row r="99">
      <c r="A99" s="162" t="n"/>
      <c r="B99" s="162" t="n"/>
      <c r="D99" s="162" t="n"/>
      <c r="E99" s="162" t="n"/>
    </row>
    <row r="100">
      <c r="A100" s="162" t="n"/>
      <c r="B100" s="162" t="n"/>
      <c r="D100" s="162" t="n"/>
      <c r="E100" s="162" t="n"/>
    </row>
    <row r="101">
      <c r="A101" s="162" t="n"/>
      <c r="B101" s="162" t="n"/>
      <c r="D101" s="162" t="n"/>
      <c r="E101" s="162" t="n"/>
    </row>
    <row r="102">
      <c r="A102" s="162" t="n"/>
      <c r="B102" s="162" t="n"/>
      <c r="D102" s="162" t="n"/>
      <c r="E102" s="162" t="n"/>
    </row>
    <row r="103">
      <c r="A103" s="162" t="n"/>
      <c r="B103" s="162" t="n"/>
      <c r="D103" s="162" t="n"/>
      <c r="E103" s="162" t="n"/>
    </row>
    <row r="104">
      <c r="A104" s="162" t="n"/>
      <c r="B104" s="162" t="n"/>
      <c r="D104" s="162" t="n"/>
      <c r="E104" s="162" t="n"/>
    </row>
    <row r="105">
      <c r="A105" s="162" t="n"/>
      <c r="B105" s="162" t="n"/>
      <c r="D105" s="162" t="n"/>
      <c r="E105" s="162" t="n"/>
    </row>
    <row r="106">
      <c r="A106" s="162" t="n"/>
      <c r="B106" s="162" t="n"/>
      <c r="D106" s="162" t="n"/>
      <c r="E106" s="162" t="n"/>
    </row>
    <row r="107">
      <c r="A107" s="162" t="n"/>
      <c r="B107" s="162" t="n"/>
      <c r="D107" s="162" t="n"/>
      <c r="E107" s="162" t="n"/>
    </row>
    <row r="108">
      <c r="A108" s="162" t="n"/>
      <c r="B108" s="162" t="n"/>
      <c r="D108" s="162" t="n"/>
      <c r="E108" s="162" t="n"/>
    </row>
    <row r="109">
      <c r="A109" s="162" t="n"/>
      <c r="B109" s="162" t="n"/>
      <c r="D109" s="162" t="n"/>
      <c r="E109" s="162" t="n"/>
    </row>
    <row r="110">
      <c r="A110" s="162" t="n"/>
      <c r="B110" s="162" t="n"/>
      <c r="D110" s="162" t="n"/>
      <c r="E110" s="162" t="n"/>
    </row>
    <row r="111">
      <c r="A111" s="162" t="n"/>
      <c r="B111" s="162" t="n"/>
      <c r="D111" s="162" t="n"/>
      <c r="E111" s="162" t="n"/>
    </row>
    <row r="112">
      <c r="A112" s="162" t="n"/>
      <c r="B112" s="162" t="n"/>
      <c r="D112" s="162" t="n"/>
      <c r="E112" s="162" t="n"/>
    </row>
    <row r="113">
      <c r="A113" s="162" t="n"/>
      <c r="B113" s="162" t="n"/>
      <c r="D113" s="162" t="n"/>
      <c r="E113" s="162" t="n"/>
    </row>
    <row r="114">
      <c r="A114" s="162" t="n"/>
      <c r="B114" s="162" t="n"/>
      <c r="D114" s="162" t="n"/>
      <c r="E114" s="162" t="n"/>
    </row>
    <row r="115">
      <c r="A115" s="162" t="n"/>
      <c r="B115" s="162" t="n"/>
      <c r="D115" s="162" t="n"/>
      <c r="E115" s="162" t="n"/>
    </row>
    <row r="116">
      <c r="A116" s="162" t="n"/>
      <c r="B116" s="162" t="n"/>
      <c r="D116" s="162" t="n"/>
      <c r="E116" s="162" t="n"/>
    </row>
    <row r="117">
      <c r="A117" s="162" t="n"/>
      <c r="B117" s="162" t="n"/>
      <c r="D117" s="162" t="n"/>
      <c r="E117" s="162" t="n"/>
    </row>
    <row r="118">
      <c r="A118" s="162" t="n"/>
      <c r="B118" s="162" t="n"/>
      <c r="D118" s="162" t="n"/>
      <c r="E118" s="162" t="n"/>
    </row>
    <row r="119">
      <c r="A119" s="162" t="n"/>
      <c r="B119" s="162" t="n"/>
      <c r="D119" s="162" t="n"/>
      <c r="E119" s="162" t="n"/>
    </row>
    <row r="120">
      <c r="A120" s="162" t="n"/>
      <c r="B120" s="162" t="n"/>
      <c r="D120" s="162" t="n"/>
      <c r="E120" s="162" t="n"/>
    </row>
    <row r="121">
      <c r="A121" s="162" t="n"/>
      <c r="B121" s="162" t="n"/>
      <c r="D121" s="162" t="n"/>
      <c r="E121" s="162" t="n"/>
    </row>
    <row r="122">
      <c r="A122" s="162" t="n"/>
      <c r="B122" s="162" t="n"/>
      <c r="D122" s="162" t="n"/>
      <c r="E122" s="162" t="n"/>
    </row>
    <row r="123">
      <c r="A123" s="162" t="n"/>
      <c r="B123" s="162" t="n"/>
      <c r="D123" s="162" t="n"/>
      <c r="E123" s="162" t="n"/>
    </row>
    <row r="124">
      <c r="A124" s="162" t="n"/>
      <c r="B124" s="162" t="n"/>
      <c r="D124" s="162" t="n"/>
      <c r="E124" s="162" t="n"/>
    </row>
    <row r="125">
      <c r="A125" s="162" t="n"/>
      <c r="B125" s="162" t="n"/>
      <c r="D125" s="162" t="n"/>
      <c r="E125" s="162" t="n"/>
    </row>
    <row r="126">
      <c r="A126" s="162" t="n"/>
      <c r="B126" s="162" t="n"/>
      <c r="D126" s="162" t="n"/>
      <c r="E126" s="162" t="n"/>
    </row>
    <row r="127">
      <c r="A127" s="162" t="n"/>
      <c r="B127" s="162" t="n"/>
      <c r="D127" s="162" t="n"/>
      <c r="E127" s="162" t="n"/>
    </row>
    <row r="128">
      <c r="A128" s="162" t="n"/>
      <c r="B128" s="162" t="n"/>
      <c r="D128" s="162" t="n"/>
      <c r="E128" s="162" t="n"/>
    </row>
    <row r="129">
      <c r="A129" s="162" t="n"/>
      <c r="B129" s="162" t="n"/>
      <c r="D129" s="162" t="n"/>
      <c r="E129" s="162" t="n"/>
    </row>
    <row r="130">
      <c r="A130" s="162" t="n"/>
      <c r="B130" s="162" t="n"/>
      <c r="D130" s="162" t="n"/>
      <c r="E130" s="162" t="n"/>
    </row>
    <row r="131">
      <c r="A131" s="162" t="n"/>
      <c r="B131" s="162" t="n"/>
      <c r="D131" s="162" t="n"/>
      <c r="E131" s="162" t="n"/>
    </row>
    <row r="132">
      <c r="A132" s="162" t="n"/>
      <c r="B132" s="162" t="n"/>
      <c r="D132" s="162" t="n"/>
      <c r="E132" s="162" t="n"/>
    </row>
    <row r="133">
      <c r="A133" s="162" t="n"/>
      <c r="B133" s="162" t="n"/>
      <c r="D133" s="162" t="n"/>
      <c r="E133" s="162" t="n"/>
    </row>
    <row r="134">
      <c r="A134" s="162" t="n"/>
      <c r="B134" s="162" t="n"/>
      <c r="D134" s="162" t="n"/>
      <c r="E134" s="162" t="n"/>
    </row>
    <row r="135">
      <c r="A135" s="162" t="n"/>
      <c r="B135" s="162" t="n"/>
      <c r="D135" s="162" t="n"/>
      <c r="E135" s="162" t="n"/>
    </row>
    <row r="136">
      <c r="A136" s="162" t="n"/>
      <c r="B136" s="162" t="n"/>
      <c r="D136" s="162" t="n"/>
      <c r="E136" s="162" t="n"/>
    </row>
    <row r="137">
      <c r="A137" s="162" t="n"/>
      <c r="B137" s="162" t="n"/>
      <c r="D137" s="162" t="n"/>
      <c r="E137" s="162" t="n"/>
    </row>
    <row r="138">
      <c r="A138" s="162" t="n"/>
      <c r="B138" s="162" t="n"/>
      <c r="D138" s="162" t="n"/>
      <c r="E138" s="162" t="n"/>
    </row>
    <row r="139">
      <c r="A139" s="162" t="n"/>
      <c r="B139" s="162" t="n"/>
      <c r="D139" s="162" t="n"/>
      <c r="E139" s="162" t="n"/>
    </row>
    <row r="140">
      <c r="A140" s="162" t="n"/>
      <c r="B140" s="162" t="n"/>
      <c r="D140" s="162" t="n"/>
      <c r="E140" s="162" t="n"/>
    </row>
    <row r="141">
      <c r="A141" s="162" t="n"/>
      <c r="B141" s="162" t="n"/>
      <c r="D141" s="162" t="n"/>
      <c r="E141" s="162" t="n"/>
    </row>
    <row r="142">
      <c r="A142" s="162" t="n"/>
      <c r="B142" s="162" t="n"/>
      <c r="D142" s="162" t="n"/>
      <c r="E142" s="162" t="n"/>
    </row>
    <row r="143">
      <c r="A143" s="162" t="n"/>
      <c r="B143" s="162" t="n"/>
      <c r="D143" s="162" t="n"/>
      <c r="E143" s="162" t="n"/>
    </row>
    <row r="144">
      <c r="A144" s="162" t="n"/>
      <c r="B144" s="162" t="n"/>
      <c r="D144" s="162" t="n"/>
      <c r="E144" s="162" t="n"/>
    </row>
    <row r="145">
      <c r="A145" s="162" t="n"/>
      <c r="B145" s="162" t="n"/>
      <c r="D145" s="162" t="n"/>
      <c r="E145" s="162" t="n"/>
    </row>
    <row r="146">
      <c r="A146" s="162" t="n"/>
      <c r="B146" s="162" t="n"/>
      <c r="D146" s="162" t="n"/>
      <c r="E146" s="162" t="n"/>
    </row>
    <row r="147">
      <c r="A147" s="162" t="n"/>
      <c r="B147" s="162" t="n"/>
      <c r="D147" s="162" t="n"/>
      <c r="E147" s="162" t="n"/>
    </row>
    <row r="148">
      <c r="A148" s="162" t="n"/>
      <c r="B148" s="162" t="n"/>
      <c r="D148" s="162" t="n"/>
      <c r="E148" s="162" t="n"/>
    </row>
    <row r="149">
      <c r="A149" s="162" t="n"/>
      <c r="B149" s="162" t="n"/>
      <c r="D149" s="162" t="n"/>
      <c r="E149" s="162" t="n"/>
    </row>
    <row r="150">
      <c r="A150" s="162" t="n"/>
      <c r="B150" s="162" t="n"/>
      <c r="D150" s="162" t="n"/>
      <c r="E150" s="162" t="n"/>
    </row>
    <row r="151">
      <c r="A151" s="162" t="n"/>
      <c r="B151" s="162" t="n"/>
      <c r="D151" s="162" t="n"/>
      <c r="E151" s="162" t="n"/>
    </row>
    <row r="152">
      <c r="A152" s="162" t="n"/>
      <c r="B152" s="162" t="n"/>
      <c r="D152" s="162" t="n"/>
      <c r="E152" s="162" t="n"/>
    </row>
    <row r="153">
      <c r="A153" s="162" t="n"/>
      <c r="B153" s="162" t="n"/>
      <c r="D153" s="162" t="n"/>
      <c r="E153" s="162" t="n"/>
    </row>
    <row r="154">
      <c r="A154" s="162" t="n"/>
      <c r="B154" s="162" t="n"/>
      <c r="D154" s="162" t="n"/>
      <c r="E154" s="162" t="n"/>
    </row>
    <row r="155">
      <c r="A155" s="162" t="n"/>
      <c r="B155" s="162" t="n"/>
      <c r="D155" s="162" t="n"/>
      <c r="E155" s="162" t="n"/>
    </row>
    <row r="156">
      <c r="A156" s="162" t="n"/>
      <c r="B156" s="162" t="n"/>
      <c r="D156" s="162" t="n"/>
      <c r="E156" s="162" t="n"/>
    </row>
    <row r="157">
      <c r="A157" s="162" t="n"/>
      <c r="B157" s="162" t="n"/>
      <c r="D157" s="162" t="n"/>
      <c r="E157" s="162" t="n"/>
    </row>
    <row r="158">
      <c r="A158" s="162" t="n"/>
      <c r="B158" s="162" t="n"/>
      <c r="D158" s="162" t="n"/>
      <c r="E158" s="162" t="n"/>
    </row>
    <row r="159">
      <c r="A159" s="162" t="n"/>
      <c r="B159" s="162" t="n"/>
      <c r="D159" s="162" t="n"/>
      <c r="E159" s="162" t="n"/>
    </row>
    <row r="160">
      <c r="A160" s="162" t="n"/>
      <c r="B160" s="162" t="n"/>
      <c r="D160" s="162" t="n"/>
      <c r="E160" s="162" t="n"/>
    </row>
    <row r="161">
      <c r="A161" s="162" t="n"/>
      <c r="B161" s="162" t="n"/>
      <c r="D161" s="162" t="n"/>
      <c r="E161" s="162" t="n"/>
    </row>
    <row r="162">
      <c r="A162" s="162" t="n"/>
      <c r="B162" s="162" t="n"/>
      <c r="D162" s="162" t="n"/>
      <c r="E162" s="162" t="n"/>
    </row>
    <row r="163">
      <c r="A163" s="162" t="n"/>
      <c r="B163" s="162" t="n"/>
      <c r="D163" s="162" t="n"/>
      <c r="E163" s="162" t="n"/>
    </row>
    <row r="164">
      <c r="A164" s="162" t="n"/>
      <c r="B164" s="162" t="n"/>
      <c r="D164" s="162" t="n"/>
      <c r="E164" s="162" t="n"/>
    </row>
    <row r="165">
      <c r="A165" s="162" t="n"/>
      <c r="B165" s="162" t="n"/>
      <c r="D165" s="162" t="n"/>
      <c r="E165" s="162" t="n"/>
    </row>
    <row r="166">
      <c r="A166" s="162" t="n"/>
      <c r="B166" s="162" t="n"/>
      <c r="D166" s="162" t="n"/>
      <c r="E166" s="162" t="n"/>
    </row>
    <row r="167">
      <c r="A167" s="162" t="n"/>
      <c r="B167" s="162" t="n"/>
      <c r="D167" s="162" t="n"/>
      <c r="E167" s="162" t="n"/>
    </row>
    <row r="168">
      <c r="A168" s="162" t="n"/>
      <c r="B168" s="162" t="n"/>
      <c r="D168" s="162" t="n"/>
      <c r="E168" s="162" t="n"/>
    </row>
    <row r="169">
      <c r="A169" s="162" t="n"/>
      <c r="B169" s="162" t="n"/>
      <c r="D169" s="162" t="n"/>
      <c r="E169" s="162" t="n"/>
    </row>
    <row r="170">
      <c r="A170" s="162" t="n"/>
      <c r="B170" s="162" t="n"/>
      <c r="D170" s="162" t="n"/>
      <c r="E170" s="162" t="n"/>
    </row>
    <row r="171">
      <c r="A171" s="162" t="n"/>
      <c r="B171" s="162" t="n"/>
      <c r="D171" s="162" t="n"/>
      <c r="E171" s="162" t="n"/>
    </row>
    <row r="172">
      <c r="A172" s="162" t="n"/>
      <c r="B172" s="162" t="n"/>
      <c r="D172" s="162" t="n"/>
      <c r="E172" s="162" t="n"/>
    </row>
    <row r="173">
      <c r="A173" s="162" t="n"/>
      <c r="B173" s="162" t="n"/>
      <c r="D173" s="162" t="n"/>
      <c r="E173" s="162" t="n"/>
    </row>
    <row r="174">
      <c r="A174" s="162" t="n"/>
      <c r="B174" s="162" t="n"/>
      <c r="D174" s="162" t="n"/>
      <c r="E174" s="162" t="n"/>
    </row>
    <row r="175">
      <c r="A175" s="162" t="n"/>
      <c r="B175" s="162" t="n"/>
      <c r="D175" s="162" t="n"/>
      <c r="E175" s="162" t="n"/>
    </row>
    <row r="176">
      <c r="A176" s="162" t="n"/>
      <c r="B176" s="162" t="n"/>
      <c r="D176" s="162" t="n"/>
      <c r="E176" s="162" t="n"/>
    </row>
    <row r="177">
      <c r="A177" s="162" t="n"/>
      <c r="B177" s="162" t="n"/>
      <c r="D177" s="162" t="n"/>
      <c r="E177" s="162" t="n"/>
    </row>
    <row r="178">
      <c r="A178" s="162" t="n"/>
      <c r="B178" s="162" t="n"/>
      <c r="D178" s="162" t="n"/>
      <c r="E178" s="162" t="n"/>
    </row>
    <row r="179">
      <c r="A179" s="162" t="n"/>
      <c r="B179" s="162" t="n"/>
      <c r="D179" s="162" t="n"/>
      <c r="E179" s="162" t="n"/>
    </row>
    <row r="180">
      <c r="A180" s="162" t="n"/>
      <c r="B180" s="162" t="n"/>
      <c r="D180" s="162" t="n"/>
      <c r="E180" s="162" t="n"/>
    </row>
    <row r="181">
      <c r="A181" s="162" t="n"/>
      <c r="B181" s="162" t="n"/>
      <c r="D181" s="162" t="n"/>
      <c r="E181" s="162" t="n"/>
    </row>
    <row r="182">
      <c r="A182" s="162" t="n"/>
      <c r="B182" s="162" t="n"/>
      <c r="D182" s="162" t="n"/>
      <c r="E182" s="162" t="n"/>
    </row>
    <row r="183">
      <c r="A183" s="162" t="n"/>
      <c r="B183" s="162" t="n"/>
      <c r="D183" s="162" t="n"/>
      <c r="E183" s="162" t="n"/>
    </row>
    <row r="184">
      <c r="A184" s="162" t="n"/>
      <c r="B184" s="162" t="n"/>
      <c r="D184" s="162" t="n"/>
      <c r="E184" s="162" t="n"/>
    </row>
    <row r="185">
      <c r="A185" s="162" t="n"/>
      <c r="B185" s="162" t="n"/>
      <c r="D185" s="162" t="n"/>
      <c r="E185" s="162" t="n"/>
    </row>
    <row r="186">
      <c r="A186" s="162" t="n"/>
      <c r="B186" s="162" t="n"/>
      <c r="D186" s="162" t="n"/>
      <c r="E186" s="162" t="n"/>
    </row>
    <row r="187">
      <c r="A187" s="162" t="n"/>
      <c r="B187" s="162" t="n"/>
      <c r="D187" s="162" t="n"/>
      <c r="E187" s="162" t="n"/>
    </row>
    <row r="188">
      <c r="A188" s="162" t="n"/>
      <c r="B188" s="162" t="n"/>
      <c r="D188" s="162" t="n"/>
      <c r="E188" s="162" t="n"/>
    </row>
    <row r="189">
      <c r="A189" s="162" t="n"/>
      <c r="B189" s="162" t="n"/>
      <c r="D189" s="162" t="n"/>
      <c r="E189" s="162" t="n"/>
    </row>
    <row r="190">
      <c r="A190" s="162" t="n"/>
      <c r="B190" s="162" t="n"/>
      <c r="D190" s="162" t="n"/>
      <c r="E190" s="162" t="n"/>
    </row>
    <row r="191">
      <c r="A191" s="162" t="n"/>
      <c r="B191" s="162" t="n"/>
      <c r="D191" s="162" t="n"/>
      <c r="E191" s="162" t="n"/>
    </row>
    <row r="192">
      <c r="A192" s="162" t="n"/>
      <c r="B192" s="162" t="n"/>
      <c r="D192" s="162" t="n"/>
      <c r="E192" s="162" t="n"/>
    </row>
    <row r="193">
      <c r="A193" s="162" t="n"/>
      <c r="B193" s="162" t="n"/>
      <c r="D193" s="162" t="n"/>
      <c r="E193" s="162" t="n"/>
    </row>
    <row r="194">
      <c r="A194" s="162" t="n"/>
      <c r="B194" s="162" t="n"/>
      <c r="D194" s="162" t="n"/>
      <c r="E194" s="162" t="n"/>
    </row>
    <row r="195">
      <c r="A195" s="162" t="n"/>
      <c r="B195" s="162" t="n"/>
      <c r="D195" s="162" t="n"/>
      <c r="E195" s="162" t="n"/>
    </row>
    <row r="196">
      <c r="A196" s="162" t="n"/>
      <c r="B196" s="162" t="n"/>
      <c r="D196" s="162" t="n"/>
      <c r="E196" s="162" t="n"/>
    </row>
    <row r="197">
      <c r="A197" s="162" t="n"/>
      <c r="B197" s="162" t="n"/>
      <c r="D197" s="162" t="n"/>
      <c r="E197" s="162" t="n"/>
    </row>
    <row r="198">
      <c r="A198" s="162" t="n"/>
      <c r="B198" s="162" t="n"/>
      <c r="D198" s="162" t="n"/>
      <c r="E198" s="162" t="n"/>
    </row>
    <row r="199">
      <c r="A199" s="162" t="n"/>
      <c r="B199" s="162" t="n"/>
      <c r="D199" s="162" t="n"/>
      <c r="E199" s="162" t="n"/>
    </row>
    <row r="200">
      <c r="A200" s="162" t="n"/>
      <c r="B200" s="162" t="n"/>
      <c r="D200" s="162" t="n"/>
      <c r="E200" s="162" t="n"/>
    </row>
    <row r="201">
      <c r="A201" s="162" t="n"/>
      <c r="B201" s="162" t="n"/>
      <c r="D201" s="162" t="n"/>
      <c r="E201" s="162" t="n"/>
    </row>
    <row r="202">
      <c r="A202" s="162" t="n"/>
      <c r="B202" s="162" t="n"/>
      <c r="D202" s="162" t="n"/>
      <c r="E202" s="162" t="n"/>
    </row>
    <row r="203">
      <c r="A203" s="162" t="n"/>
      <c r="B203" s="162" t="n"/>
      <c r="D203" s="162" t="n"/>
      <c r="E203" s="162" t="n"/>
    </row>
    <row r="204">
      <c r="A204" s="162" t="n"/>
      <c r="B204" s="162" t="n"/>
      <c r="D204" s="162" t="n"/>
      <c r="E204" s="162" t="n"/>
    </row>
    <row r="205">
      <c r="A205" s="162" t="n"/>
      <c r="B205" s="162" t="n"/>
      <c r="D205" s="162" t="n"/>
      <c r="E205" s="162" t="n"/>
    </row>
    <row r="206">
      <c r="A206" s="162" t="n"/>
      <c r="B206" s="162" t="n"/>
      <c r="D206" s="162" t="n"/>
      <c r="E206" s="162" t="n"/>
    </row>
    <row r="207">
      <c r="A207" s="162" t="n"/>
      <c r="B207" s="162" t="n"/>
      <c r="D207" s="162" t="n"/>
      <c r="E207" s="162" t="n"/>
    </row>
    <row r="208">
      <c r="A208" s="162" t="n"/>
      <c r="B208" s="162" t="n"/>
      <c r="D208" s="162" t="n"/>
      <c r="E208" s="162" t="n"/>
    </row>
    <row r="209">
      <c r="A209" s="162" t="n"/>
      <c r="B209" s="162" t="n"/>
      <c r="D209" s="162" t="n"/>
      <c r="E209" s="162" t="n"/>
    </row>
    <row r="210">
      <c r="A210" s="162" t="n"/>
      <c r="B210" s="162" t="n"/>
      <c r="D210" s="162" t="n"/>
      <c r="E210" s="162" t="n"/>
    </row>
    <row r="211">
      <c r="A211" s="162" t="n"/>
      <c r="B211" s="162" t="n"/>
      <c r="D211" s="162" t="n"/>
      <c r="E211" s="162" t="n"/>
    </row>
    <row r="212">
      <c r="A212" s="162" t="n"/>
      <c r="B212" s="162" t="n"/>
      <c r="D212" s="162" t="n"/>
      <c r="E212" s="162" t="n"/>
    </row>
    <row r="213">
      <c r="A213" s="162" t="n"/>
      <c r="B213" s="162" t="n"/>
      <c r="D213" s="162" t="n"/>
      <c r="E213" s="162" t="n"/>
    </row>
    <row r="214">
      <c r="A214" s="162" t="n"/>
      <c r="B214" s="162" t="n"/>
      <c r="D214" s="162" t="n"/>
      <c r="E214" s="162" t="n"/>
    </row>
    <row r="215">
      <c r="A215" s="162" t="n"/>
      <c r="B215" s="162" t="n"/>
      <c r="D215" s="162" t="n"/>
      <c r="E215" s="162" t="n"/>
    </row>
    <row r="216">
      <c r="A216" s="162" t="n"/>
      <c r="B216" s="162" t="n"/>
      <c r="D216" s="162" t="n"/>
      <c r="E216" s="162" t="n"/>
    </row>
    <row r="217">
      <c r="A217" s="162" t="n"/>
      <c r="B217" s="162" t="n"/>
      <c r="D217" s="162" t="n"/>
      <c r="E217" s="162" t="n"/>
    </row>
    <row r="218">
      <c r="A218" s="162" t="n"/>
      <c r="B218" s="162" t="n"/>
      <c r="D218" s="162" t="n"/>
      <c r="E218" s="162" t="n"/>
    </row>
    <row r="219">
      <c r="A219" s="162" t="n"/>
      <c r="B219" s="162" t="n"/>
      <c r="D219" s="162" t="n"/>
      <c r="E219" s="162" t="n"/>
    </row>
    <row r="220">
      <c r="A220" s="162" t="n"/>
      <c r="B220" s="162" t="n"/>
      <c r="D220" s="162" t="n"/>
      <c r="E220" s="162" t="n"/>
    </row>
    <row r="221">
      <c r="A221" s="162" t="n"/>
      <c r="B221" s="162" t="n"/>
      <c r="D221" s="162" t="n"/>
      <c r="E221" s="162" t="n"/>
    </row>
    <row r="222">
      <c r="A222" s="162" t="n"/>
      <c r="B222" s="162" t="n"/>
      <c r="D222" s="162" t="n"/>
      <c r="E222" s="162" t="n"/>
    </row>
    <row r="223">
      <c r="A223" s="162" t="n"/>
      <c r="B223" s="162" t="n"/>
      <c r="D223" s="162" t="n"/>
      <c r="E223" s="162" t="n"/>
    </row>
    <row r="224">
      <c r="A224" s="162" t="n"/>
      <c r="B224" s="162" t="n"/>
      <c r="D224" s="162" t="n"/>
      <c r="E224" s="162" t="n"/>
    </row>
    <row r="225">
      <c r="A225" s="162" t="n"/>
      <c r="B225" s="162" t="n"/>
      <c r="D225" s="162" t="n"/>
      <c r="E225" s="162" t="n"/>
    </row>
    <row r="226">
      <c r="A226" s="162" t="n"/>
      <c r="B226" s="162" t="n"/>
      <c r="D226" s="162" t="n"/>
      <c r="E226" s="162" t="n"/>
    </row>
    <row r="227">
      <c r="A227" s="162" t="n"/>
      <c r="B227" s="162" t="n"/>
      <c r="D227" s="162" t="n"/>
      <c r="E227" s="162" t="n"/>
    </row>
    <row r="228">
      <c r="A228" s="162" t="n"/>
      <c r="B228" s="162" t="n"/>
      <c r="D228" s="162" t="n"/>
      <c r="E228" s="162" t="n"/>
    </row>
    <row r="229">
      <c r="A229" s="162" t="n"/>
      <c r="B229" s="162" t="n"/>
      <c r="D229" s="162" t="n"/>
      <c r="E229" s="162" t="n"/>
    </row>
    <row r="230">
      <c r="A230" s="162" t="n"/>
      <c r="B230" s="162" t="n"/>
      <c r="D230" s="162" t="n"/>
      <c r="E230" s="162" t="n"/>
    </row>
    <row r="231">
      <c r="A231" s="162" t="n"/>
      <c r="B231" s="162" t="n"/>
      <c r="D231" s="162" t="n"/>
      <c r="E231" s="162" t="n"/>
    </row>
    <row r="232">
      <c r="A232" s="162" t="n"/>
      <c r="B232" s="162" t="n"/>
      <c r="D232" s="162" t="n"/>
      <c r="E232" s="162" t="n"/>
    </row>
    <row r="233">
      <c r="A233" s="162" t="n"/>
      <c r="B233" s="162" t="n"/>
      <c r="D233" s="162" t="n"/>
      <c r="E233" s="162" t="n"/>
    </row>
    <row r="234">
      <c r="A234" s="162" t="n"/>
      <c r="B234" s="162" t="n"/>
      <c r="D234" s="162" t="n"/>
      <c r="E234" s="162" t="n"/>
    </row>
    <row r="235">
      <c r="A235" s="162" t="n"/>
      <c r="B235" s="162" t="n"/>
      <c r="D235" s="162" t="n"/>
      <c r="E235" s="162" t="n"/>
    </row>
    <row r="236">
      <c r="A236" s="162" t="n"/>
      <c r="B236" s="162" t="n"/>
      <c r="D236" s="162" t="n"/>
      <c r="E236" s="162" t="n"/>
    </row>
    <row r="237">
      <c r="A237" s="162" t="n"/>
      <c r="B237" s="162" t="n"/>
      <c r="D237" s="162" t="n"/>
      <c r="E237" s="162" t="n"/>
    </row>
    <row r="238">
      <c r="A238" s="162" t="n"/>
      <c r="B238" s="162" t="n"/>
      <c r="D238" s="162" t="n"/>
      <c r="E238" s="162" t="n"/>
    </row>
    <row r="239">
      <c r="A239" s="162" t="n"/>
      <c r="B239" s="162" t="n"/>
      <c r="D239" s="162" t="n"/>
      <c r="E239" s="162" t="n"/>
    </row>
    <row r="240">
      <c r="A240" s="162" t="n"/>
      <c r="B240" s="162" t="n"/>
      <c r="D240" s="162" t="n"/>
      <c r="E240" s="162" t="n"/>
    </row>
    <row r="241">
      <c r="A241" s="162" t="n"/>
      <c r="B241" s="162" t="n"/>
      <c r="D241" s="162" t="n"/>
      <c r="E241" s="162" t="n"/>
    </row>
    <row r="242">
      <c r="A242" s="162" t="n"/>
      <c r="B242" s="162" t="n"/>
      <c r="D242" s="162" t="n"/>
      <c r="E242" s="162" t="n"/>
    </row>
    <row r="243">
      <c r="A243" s="162" t="n"/>
      <c r="B243" s="162" t="n"/>
      <c r="D243" s="162" t="n"/>
      <c r="E243" s="162" t="n"/>
    </row>
    <row r="244">
      <c r="A244" s="162" t="n"/>
      <c r="B244" s="162" t="n"/>
      <c r="D244" s="162" t="n"/>
      <c r="E244" s="162" t="n"/>
    </row>
    <row r="245">
      <c r="A245" s="162" t="n"/>
      <c r="B245" s="162" t="n"/>
      <c r="D245" s="162" t="n"/>
      <c r="E245" s="162" t="n"/>
    </row>
    <row r="246">
      <c r="A246" s="162" t="n"/>
      <c r="B246" s="162" t="n"/>
      <c r="D246" s="162" t="n"/>
      <c r="E246" s="162" t="n"/>
    </row>
    <row r="247">
      <c r="A247" s="162" t="n"/>
      <c r="B247" s="162" t="n"/>
      <c r="D247" s="162" t="n"/>
      <c r="E247" s="162" t="n"/>
    </row>
    <row r="248">
      <c r="A248" s="162" t="n"/>
      <c r="B248" s="162" t="n"/>
      <c r="D248" s="162" t="n"/>
      <c r="E248" s="162" t="n"/>
    </row>
    <row r="249">
      <c r="A249" s="162" t="n"/>
      <c r="B249" s="162" t="n"/>
      <c r="D249" s="162" t="n"/>
      <c r="E249" s="162" t="n"/>
    </row>
    <row r="250">
      <c r="A250" s="162" t="n"/>
      <c r="B250" s="162" t="n"/>
      <c r="D250" s="162" t="n"/>
      <c r="E250" s="162" t="n"/>
    </row>
    <row r="251">
      <c r="A251" s="162" t="n"/>
      <c r="B251" s="162" t="n"/>
      <c r="D251" s="162" t="n"/>
      <c r="E251" s="162" t="n"/>
    </row>
    <row r="252">
      <c r="A252" s="162" t="n"/>
      <c r="B252" s="162" t="n"/>
      <c r="D252" s="162" t="n"/>
      <c r="E252" s="162" t="n"/>
    </row>
    <row r="253">
      <c r="A253" s="162" t="n"/>
      <c r="B253" s="162" t="n"/>
      <c r="D253" s="162" t="n"/>
      <c r="E253" s="162" t="n"/>
    </row>
    <row r="254">
      <c r="A254" s="162" t="n"/>
      <c r="B254" s="162" t="n"/>
      <c r="D254" s="162" t="n"/>
      <c r="E254" s="162" t="n"/>
    </row>
    <row r="255">
      <c r="A255" s="162" t="n"/>
      <c r="B255" s="162" t="n"/>
      <c r="D255" s="162" t="n"/>
      <c r="E255" s="162" t="n"/>
    </row>
    <row r="256">
      <c r="A256" s="162" t="n"/>
      <c r="B256" s="162" t="n"/>
      <c r="D256" s="162" t="n"/>
      <c r="E256" s="162" t="n"/>
    </row>
    <row r="257">
      <c r="A257" s="162" t="n"/>
      <c r="B257" s="162" t="n"/>
      <c r="D257" s="162" t="n"/>
      <c r="E257" s="162" t="n"/>
    </row>
    <row r="258">
      <c r="A258" s="162" t="n"/>
      <c r="B258" s="162" t="n"/>
      <c r="D258" s="162" t="n"/>
      <c r="E258" s="162" t="n"/>
    </row>
    <row r="259">
      <c r="A259" s="162" t="n"/>
      <c r="B259" s="162" t="n"/>
      <c r="D259" s="162" t="n"/>
      <c r="E259" s="162" t="n"/>
    </row>
    <row r="260">
      <c r="A260" s="162" t="n"/>
      <c r="B260" s="162" t="n"/>
      <c r="D260" s="162" t="n"/>
      <c r="E260" s="162" t="n"/>
    </row>
    <row r="261">
      <c r="A261" s="162" t="n"/>
      <c r="B261" s="162" t="n"/>
      <c r="D261" s="162" t="n"/>
      <c r="E261" s="162" t="n"/>
    </row>
    <row r="262">
      <c r="A262" s="162" t="n"/>
      <c r="B262" s="162" t="n"/>
      <c r="D262" s="162" t="n"/>
      <c r="E262" s="162" t="n"/>
    </row>
    <row r="263">
      <c r="A263" s="162" t="n"/>
      <c r="B263" s="162" t="n"/>
      <c r="D263" s="162" t="n"/>
      <c r="E263" s="162" t="n"/>
    </row>
    <row r="264">
      <c r="A264" s="162" t="n"/>
      <c r="B264" s="162" t="n"/>
      <c r="D264" s="162" t="n"/>
      <c r="E264" s="162" t="n"/>
    </row>
    <row r="265">
      <c r="A265" s="162" t="n"/>
      <c r="B265" s="162" t="n"/>
      <c r="D265" s="162" t="n"/>
      <c r="E265" s="162" t="n"/>
    </row>
    <row r="266">
      <c r="A266" s="162" t="n"/>
      <c r="B266" s="162" t="n"/>
      <c r="D266" s="162" t="n"/>
      <c r="E266" s="162" t="n"/>
    </row>
    <row r="267">
      <c r="A267" s="162" t="n"/>
      <c r="B267" s="162" t="n"/>
      <c r="D267" s="162" t="n"/>
      <c r="E267" s="162" t="n"/>
    </row>
    <row r="268">
      <c r="A268" s="162" t="n"/>
      <c r="B268" s="162" t="n"/>
      <c r="D268" s="162" t="n"/>
      <c r="E268" s="162" t="n"/>
    </row>
    <row r="269">
      <c r="A269" s="162" t="n"/>
      <c r="B269" s="162" t="n"/>
      <c r="D269" s="162" t="n"/>
      <c r="E269" s="162" t="n"/>
    </row>
    <row r="270">
      <c r="A270" s="162" t="n"/>
      <c r="B270" s="162" t="n"/>
      <c r="D270" s="162" t="n"/>
      <c r="E270" s="162" t="n"/>
    </row>
    <row r="271">
      <c r="A271" s="162" t="n"/>
      <c r="B271" s="162" t="n"/>
      <c r="D271" s="162" t="n"/>
      <c r="E271" s="162" t="n"/>
    </row>
    <row r="272">
      <c r="A272" s="162" t="n"/>
      <c r="B272" s="162" t="n"/>
      <c r="D272" s="162" t="n"/>
      <c r="E272" s="162" t="n"/>
    </row>
    <row r="273">
      <c r="A273" s="162" t="n"/>
      <c r="B273" s="162" t="n"/>
      <c r="D273" s="162" t="n"/>
      <c r="E273" s="162" t="n"/>
    </row>
    <row r="274">
      <c r="A274" s="162" t="n"/>
      <c r="B274" s="162" t="n"/>
      <c r="D274" s="162" t="n"/>
      <c r="E274" s="162" t="n"/>
    </row>
    <row r="275">
      <c r="A275" s="162" t="n"/>
      <c r="B275" s="162" t="n"/>
      <c r="D275" s="162" t="n"/>
      <c r="E275" s="162" t="n"/>
    </row>
    <row r="276">
      <c r="A276" s="162" t="n"/>
      <c r="B276" s="162" t="n"/>
      <c r="D276" s="162" t="n"/>
      <c r="E276" s="162" t="n"/>
    </row>
    <row r="277">
      <c r="A277" s="162" t="n"/>
      <c r="B277" s="162" t="n"/>
      <c r="D277" s="162" t="n"/>
      <c r="E277" s="162" t="n"/>
    </row>
    <row r="278">
      <c r="A278" s="162" t="n"/>
      <c r="B278" s="162" t="n"/>
      <c r="D278" s="162" t="n"/>
      <c r="E278" s="162" t="n"/>
    </row>
    <row r="279">
      <c r="A279" s="162" t="n"/>
      <c r="B279" s="162" t="n"/>
      <c r="D279" s="162" t="n"/>
      <c r="E279" s="162" t="n"/>
    </row>
    <row r="280">
      <c r="A280" s="162" t="n"/>
      <c r="B280" s="162" t="n"/>
      <c r="D280" s="162" t="n"/>
      <c r="E280" s="162" t="n"/>
    </row>
    <row r="281">
      <c r="A281" s="162" t="n"/>
      <c r="B281" s="162" t="n"/>
      <c r="D281" s="162" t="n"/>
      <c r="E281" s="162" t="n"/>
    </row>
    <row r="282">
      <c r="A282" s="162" t="n"/>
      <c r="B282" s="162" t="n"/>
      <c r="D282" s="162" t="n"/>
      <c r="E282" s="162" t="n"/>
    </row>
    <row r="283">
      <c r="A283" s="162" t="n"/>
      <c r="B283" s="162" t="n"/>
      <c r="D283" s="162" t="n"/>
      <c r="E283" s="162" t="n"/>
    </row>
    <row r="284">
      <c r="A284" s="162" t="n"/>
      <c r="B284" s="162" t="n"/>
      <c r="D284" s="162" t="n"/>
      <c r="E284" s="162" t="n"/>
    </row>
    <row r="285">
      <c r="A285" s="162" t="n"/>
      <c r="B285" s="162" t="n"/>
      <c r="D285" s="162" t="n"/>
      <c r="E285" s="162" t="n"/>
    </row>
    <row r="286">
      <c r="A286" s="162" t="n"/>
      <c r="B286" s="162" t="n"/>
      <c r="D286" s="162" t="n"/>
      <c r="E286" s="162" t="n"/>
    </row>
    <row r="287">
      <c r="A287" s="162" t="n"/>
      <c r="B287" s="162" t="n"/>
      <c r="D287" s="162" t="n"/>
      <c r="E287" s="162" t="n"/>
    </row>
    <row r="288">
      <c r="A288" s="162" t="n"/>
      <c r="B288" s="162" t="n"/>
      <c r="D288" s="162" t="n"/>
      <c r="E288" s="162" t="n"/>
    </row>
    <row r="289">
      <c r="A289" s="162" t="n"/>
      <c r="B289" s="162" t="n"/>
      <c r="D289" s="162" t="n"/>
      <c r="E289" s="162" t="n"/>
    </row>
    <row r="290">
      <c r="A290" s="162" t="n"/>
      <c r="B290" s="162" t="n"/>
      <c r="D290" s="162" t="n"/>
      <c r="E290" s="162" t="n"/>
    </row>
    <row r="291">
      <c r="A291" s="162" t="n"/>
      <c r="B291" s="162" t="n"/>
      <c r="D291" s="162" t="n"/>
      <c r="E291" s="162" t="n"/>
    </row>
    <row r="292">
      <c r="A292" s="162" t="n"/>
      <c r="B292" s="162" t="n"/>
      <c r="D292" s="162" t="n"/>
      <c r="E292" s="162" t="n"/>
    </row>
    <row r="293">
      <c r="A293" s="162" t="n"/>
      <c r="B293" s="162" t="n"/>
      <c r="D293" s="162" t="n"/>
      <c r="E293" s="162" t="n"/>
    </row>
    <row r="294">
      <c r="A294" s="162" t="n"/>
      <c r="B294" s="162" t="n"/>
      <c r="D294" s="162" t="n"/>
      <c r="E294" s="162" t="n"/>
    </row>
    <row r="295">
      <c r="A295" s="162" t="n"/>
      <c r="B295" s="162" t="n"/>
      <c r="D295" s="162" t="n"/>
      <c r="E295" s="162" t="n"/>
    </row>
    <row r="296">
      <c r="A296" s="162" t="n"/>
      <c r="B296" s="162" t="n"/>
      <c r="D296" s="162" t="n"/>
      <c r="E296" s="162" t="n"/>
    </row>
    <row r="297">
      <c r="A297" s="162" t="n"/>
      <c r="B297" s="162" t="n"/>
      <c r="D297" s="162" t="n"/>
      <c r="E297" s="162" t="n"/>
    </row>
    <row r="298">
      <c r="A298" s="162" t="n"/>
      <c r="B298" s="162" t="n"/>
      <c r="D298" s="162" t="n"/>
      <c r="E298" s="162" t="n"/>
    </row>
    <row r="299">
      <c r="A299" s="162" t="n"/>
      <c r="B299" s="162" t="n"/>
      <c r="D299" s="162" t="n"/>
      <c r="E299" s="162" t="n"/>
    </row>
    <row r="300">
      <c r="A300" s="162" t="n"/>
      <c r="B300" s="162" t="n"/>
      <c r="D300" s="162" t="n"/>
      <c r="E300" s="162" t="n"/>
    </row>
    <row r="301">
      <c r="A301" s="162" t="n"/>
      <c r="B301" s="162" t="n"/>
      <c r="D301" s="162" t="n"/>
      <c r="E301" s="162" t="n"/>
    </row>
    <row r="302">
      <c r="A302" s="162" t="n"/>
      <c r="B302" s="162" t="n"/>
      <c r="D302" s="162" t="n"/>
      <c r="E302" s="162" t="n"/>
    </row>
    <row r="303">
      <c r="A303" s="162" t="n"/>
      <c r="B303" s="162" t="n"/>
      <c r="D303" s="162" t="n"/>
      <c r="E303" s="162" t="n"/>
    </row>
    <row r="304">
      <c r="A304" s="162" t="n"/>
      <c r="B304" s="162" t="n"/>
      <c r="D304" s="162" t="n"/>
      <c r="E304" s="162" t="n"/>
    </row>
    <row r="305">
      <c r="A305" s="162" t="n"/>
      <c r="B305" s="162" t="n"/>
      <c r="D305" s="162" t="n"/>
      <c r="E305" s="162" t="n"/>
    </row>
    <row r="306">
      <c r="A306" s="162" t="n"/>
      <c r="B306" s="162" t="n"/>
      <c r="D306" s="162" t="n"/>
      <c r="E306" s="162" t="n"/>
    </row>
    <row r="307">
      <c r="A307" s="162" t="n"/>
      <c r="B307" s="162" t="n"/>
      <c r="D307" s="162" t="n"/>
      <c r="E307" s="162" t="n"/>
    </row>
    <row r="308">
      <c r="A308" s="162" t="n"/>
      <c r="B308" s="162" t="n"/>
      <c r="D308" s="162" t="n"/>
      <c r="E308" s="162" t="n"/>
    </row>
    <row r="309">
      <c r="A309" s="162" t="n"/>
      <c r="B309" s="162" t="n"/>
      <c r="D309" s="162" t="n"/>
      <c r="E309" s="162" t="n"/>
    </row>
    <row r="310">
      <c r="A310" s="162" t="n"/>
      <c r="B310" s="162" t="n"/>
      <c r="D310" s="162" t="n"/>
      <c r="E310" s="162" t="n"/>
    </row>
    <row r="311">
      <c r="A311" s="162" t="n"/>
      <c r="B311" s="162" t="n"/>
      <c r="D311" s="162" t="n"/>
      <c r="E311" s="162" t="n"/>
    </row>
    <row r="312">
      <c r="A312" s="162" t="n"/>
      <c r="B312" s="162" t="n"/>
      <c r="D312" s="162" t="n"/>
      <c r="E312" s="162" t="n"/>
    </row>
    <row r="313">
      <c r="A313" s="162" t="n"/>
      <c r="B313" s="162" t="n"/>
      <c r="D313" s="162" t="n"/>
      <c r="E313" s="162" t="n"/>
    </row>
    <row r="314">
      <c r="A314" s="162" t="n"/>
      <c r="B314" s="162" t="n"/>
      <c r="D314" s="162" t="n"/>
      <c r="E314" s="162" t="n"/>
    </row>
    <row r="315">
      <c r="A315" s="162" t="n"/>
      <c r="B315" s="162" t="n"/>
      <c r="D315" s="162" t="n"/>
      <c r="E315" s="162" t="n"/>
    </row>
    <row r="316">
      <c r="A316" s="162" t="n"/>
      <c r="B316" s="162" t="n"/>
      <c r="D316" s="162" t="n"/>
      <c r="E316" s="162" t="n"/>
    </row>
    <row r="317">
      <c r="A317" s="162" t="n"/>
      <c r="B317" s="162" t="n"/>
      <c r="D317" s="162" t="n"/>
      <c r="E317" s="162" t="n"/>
    </row>
    <row r="318">
      <c r="A318" s="162" t="n"/>
      <c r="B318" s="162" t="n"/>
      <c r="D318" s="162" t="n"/>
      <c r="E318" s="162" t="n"/>
    </row>
    <row r="319">
      <c r="A319" s="162" t="n"/>
      <c r="B319" s="162" t="n"/>
      <c r="D319" s="162" t="n"/>
      <c r="E319" s="162" t="n"/>
    </row>
    <row r="320">
      <c r="A320" s="162" t="n"/>
      <c r="B320" s="162" t="n"/>
      <c r="D320" s="162" t="n"/>
      <c r="E320" s="162" t="n"/>
    </row>
    <row r="321">
      <c r="A321" s="162" t="n"/>
      <c r="B321" s="162" t="n"/>
      <c r="D321" s="162" t="n"/>
      <c r="E321" s="162" t="n"/>
    </row>
    <row r="322">
      <c r="A322" s="162" t="n"/>
      <c r="B322" s="162" t="n"/>
      <c r="D322" s="162" t="n"/>
      <c r="E322" s="162" t="n"/>
    </row>
    <row r="323">
      <c r="A323" s="162" t="n"/>
      <c r="B323" s="162" t="n"/>
      <c r="D323" s="162" t="n"/>
      <c r="E323" s="162" t="n"/>
    </row>
    <row r="324">
      <c r="A324" s="162" t="n"/>
      <c r="B324" s="162" t="n"/>
      <c r="D324" s="162" t="n"/>
      <c r="E324" s="162" t="n"/>
    </row>
    <row r="325">
      <c r="A325" s="162" t="n"/>
      <c r="B325" s="162" t="n"/>
      <c r="D325" s="162" t="n"/>
      <c r="E325" s="162" t="n"/>
    </row>
    <row r="326">
      <c r="A326" s="162" t="n"/>
      <c r="B326" s="162" t="n"/>
      <c r="D326" s="162" t="n"/>
      <c r="E326" s="162" t="n"/>
    </row>
    <row r="327">
      <c r="A327" s="162" t="n"/>
      <c r="B327" s="162" t="n"/>
      <c r="D327" s="162" t="n"/>
      <c r="E327" s="162" t="n"/>
    </row>
    <row r="328">
      <c r="A328" s="162" t="n"/>
      <c r="B328" s="162" t="n"/>
      <c r="D328" s="162" t="n"/>
      <c r="E328" s="162" t="n"/>
    </row>
    <row r="329">
      <c r="A329" s="162" t="n"/>
      <c r="B329" s="162" t="n"/>
      <c r="D329" s="162" t="n"/>
      <c r="E329" s="162" t="n"/>
    </row>
    <row r="330">
      <c r="A330" s="162" t="n"/>
      <c r="B330" s="162" t="n"/>
      <c r="D330" s="162" t="n"/>
      <c r="E330" s="162" t="n"/>
    </row>
    <row r="331">
      <c r="A331" s="162" t="n"/>
      <c r="B331" s="162" t="n"/>
      <c r="D331" s="162" t="n"/>
      <c r="E331" s="162" t="n"/>
    </row>
    <row r="332">
      <c r="A332" s="162" t="n"/>
      <c r="B332" s="162" t="n"/>
      <c r="D332" s="162" t="n"/>
      <c r="E332" s="162" t="n"/>
    </row>
    <row r="333">
      <c r="A333" s="162" t="n"/>
      <c r="B333" s="162" t="n"/>
      <c r="D333" s="162" t="n"/>
      <c r="E333" s="162" t="n"/>
    </row>
    <row r="334">
      <c r="A334" s="162" t="n"/>
      <c r="B334" s="162" t="n"/>
      <c r="D334" s="162" t="n"/>
      <c r="E334" s="162" t="n"/>
    </row>
    <row r="335">
      <c r="A335" s="162" t="n"/>
      <c r="B335" s="162" t="n"/>
      <c r="D335" s="162" t="n"/>
      <c r="E335" s="162" t="n"/>
    </row>
    <row r="336">
      <c r="A336" s="162" t="n"/>
      <c r="B336" s="162" t="n"/>
      <c r="D336" s="162" t="n"/>
      <c r="E336" s="162" t="n"/>
    </row>
    <row r="337">
      <c r="A337" s="162" t="n"/>
      <c r="B337" s="162" t="n"/>
      <c r="D337" s="162" t="n"/>
      <c r="E337" s="162" t="n"/>
    </row>
    <row r="338">
      <c r="A338" s="162" t="n"/>
      <c r="B338" s="162" t="n"/>
      <c r="D338" s="162" t="n"/>
      <c r="E338" s="162" t="n"/>
    </row>
    <row r="339">
      <c r="A339" s="162" t="n"/>
      <c r="B339" s="162" t="n"/>
      <c r="D339" s="162" t="n"/>
      <c r="E339" s="162" t="n"/>
    </row>
    <row r="340">
      <c r="A340" s="162" t="n"/>
      <c r="B340" s="162" t="n"/>
      <c r="D340" s="162" t="n"/>
      <c r="E340" s="162" t="n"/>
    </row>
    <row r="341">
      <c r="A341" s="162" t="n"/>
      <c r="B341" s="162" t="n"/>
      <c r="D341" s="162" t="n"/>
      <c r="E341" s="162" t="n"/>
    </row>
    <row r="342">
      <c r="A342" s="162" t="n"/>
      <c r="B342" s="162" t="n"/>
      <c r="D342" s="162" t="n"/>
      <c r="E342" s="162" t="n"/>
    </row>
    <row r="343">
      <c r="A343" s="162" t="n"/>
      <c r="B343" s="162" t="n"/>
      <c r="D343" s="162" t="n"/>
      <c r="E343" s="162" t="n"/>
    </row>
    <row r="344">
      <c r="A344" s="162" t="n"/>
      <c r="B344" s="162" t="n"/>
      <c r="D344" s="162" t="n"/>
      <c r="E344" s="162" t="n"/>
    </row>
    <row r="345">
      <c r="A345" s="162" t="n"/>
      <c r="B345" s="162" t="n"/>
      <c r="D345" s="162" t="n"/>
      <c r="E345" s="162" t="n"/>
    </row>
    <row r="346">
      <c r="A346" s="162" t="n"/>
      <c r="B346" s="162" t="n"/>
      <c r="D346" s="162" t="n"/>
      <c r="E346" s="162" t="n"/>
    </row>
    <row r="347">
      <c r="A347" s="162" t="n"/>
      <c r="B347" s="162" t="n"/>
      <c r="D347" s="162" t="n"/>
      <c r="E347" s="162" t="n"/>
    </row>
    <row r="348">
      <c r="A348" s="162" t="n"/>
      <c r="B348" s="162" t="n"/>
      <c r="D348" s="162" t="n"/>
      <c r="E348" s="162" t="n"/>
    </row>
    <row r="349">
      <c r="A349" s="162" t="n"/>
      <c r="B349" s="162" t="n"/>
      <c r="D349" s="162" t="n"/>
      <c r="E349" s="162" t="n"/>
    </row>
    <row r="350">
      <c r="A350" s="162" t="n"/>
      <c r="B350" s="162" t="n"/>
      <c r="D350" s="162" t="n"/>
      <c r="E350" s="162" t="n"/>
    </row>
    <row r="351">
      <c r="A351" s="162" t="n"/>
      <c r="B351" s="162" t="n"/>
      <c r="D351" s="162" t="n"/>
      <c r="E351" s="162" t="n"/>
    </row>
    <row r="352">
      <c r="A352" s="162" t="n"/>
      <c r="B352" s="162" t="n"/>
      <c r="D352" s="162" t="n"/>
      <c r="E352" s="162" t="n"/>
    </row>
    <row r="353">
      <c r="A353" s="162" t="n"/>
      <c r="B353" s="162" t="n"/>
      <c r="D353" s="162" t="n"/>
      <c r="E353" s="162" t="n"/>
    </row>
    <row r="354">
      <c r="A354" s="162" t="n"/>
      <c r="B354" s="162" t="n"/>
      <c r="D354" s="162" t="n"/>
      <c r="E354" s="162" t="n"/>
    </row>
    <row r="355">
      <c r="A355" s="162" t="n"/>
      <c r="B355" s="162" t="n"/>
      <c r="D355" s="162" t="n"/>
      <c r="E355" s="162" t="n"/>
    </row>
    <row r="356">
      <c r="A356" s="162" t="n"/>
      <c r="B356" s="162" t="n"/>
      <c r="D356" s="162" t="n"/>
      <c r="E356" s="162" t="n"/>
    </row>
    <row r="357">
      <c r="A357" s="162" t="n"/>
      <c r="B357" s="162" t="n"/>
      <c r="D357" s="162" t="n"/>
      <c r="E357" s="162" t="n"/>
    </row>
    <row r="358">
      <c r="A358" s="162" t="n"/>
      <c r="B358" s="162" t="n"/>
      <c r="D358" s="162" t="n"/>
      <c r="E358" s="162" t="n"/>
    </row>
    <row r="359">
      <c r="A359" s="162" t="n"/>
      <c r="B359" s="162" t="n"/>
      <c r="D359" s="162" t="n"/>
      <c r="E359" s="162" t="n"/>
    </row>
    <row r="360">
      <c r="A360" s="162" t="n"/>
      <c r="B360" s="162" t="n"/>
      <c r="D360" s="162" t="n"/>
      <c r="E360" s="162" t="n"/>
    </row>
    <row r="361">
      <c r="A361" s="162" t="n"/>
      <c r="B361" s="162" t="n"/>
      <c r="D361" s="162" t="n"/>
      <c r="E361" s="162" t="n"/>
    </row>
    <row r="362">
      <c r="A362" s="162" t="n"/>
      <c r="B362" s="162" t="n"/>
      <c r="D362" s="162" t="n"/>
      <c r="E362" s="162" t="n"/>
    </row>
    <row r="363">
      <c r="A363" s="162" t="n"/>
      <c r="B363" s="162" t="n"/>
      <c r="D363" s="162" t="n"/>
      <c r="E363" s="162" t="n"/>
    </row>
    <row r="364">
      <c r="A364" s="162" t="n"/>
      <c r="B364" s="162" t="n"/>
      <c r="D364" s="162" t="n"/>
      <c r="E364" s="162" t="n"/>
    </row>
    <row r="365">
      <c r="A365" s="162" t="n"/>
      <c r="B365" s="162" t="n"/>
      <c r="D365" s="162" t="n"/>
      <c r="E365" s="162" t="n"/>
    </row>
    <row r="366">
      <c r="A366" s="162" t="n"/>
      <c r="B366" s="162" t="n"/>
      <c r="D366" s="162" t="n"/>
      <c r="E366" s="162" t="n"/>
    </row>
    <row r="367">
      <c r="A367" s="162" t="n"/>
      <c r="B367" s="162" t="n"/>
      <c r="D367" s="162" t="n"/>
      <c r="E367" s="162" t="n"/>
    </row>
    <row r="368">
      <c r="A368" s="162" t="n"/>
      <c r="B368" s="162" t="n"/>
      <c r="D368" s="162" t="n"/>
      <c r="E368" s="162" t="n"/>
    </row>
    <row r="369">
      <c r="A369" s="162" t="n"/>
      <c r="B369" s="162" t="n"/>
      <c r="D369" s="162" t="n"/>
      <c r="E369" s="162" t="n"/>
    </row>
    <row r="370">
      <c r="A370" s="162" t="n"/>
      <c r="B370" s="162" t="n"/>
      <c r="D370" s="162" t="n"/>
      <c r="E370" s="162" t="n"/>
    </row>
    <row r="371">
      <c r="A371" s="162" t="n"/>
      <c r="B371" s="162" t="n"/>
      <c r="D371" s="162" t="n"/>
      <c r="E371" s="162" t="n"/>
    </row>
    <row r="372">
      <c r="A372" s="162" t="n"/>
      <c r="B372" s="162" t="n"/>
      <c r="D372" s="162" t="n"/>
      <c r="E372" s="162" t="n"/>
    </row>
    <row r="373">
      <c r="A373" s="162" t="n"/>
      <c r="B373" s="162" t="n"/>
      <c r="D373" s="162" t="n"/>
      <c r="E373" s="162" t="n"/>
    </row>
    <row r="374">
      <c r="A374" s="162" t="n"/>
      <c r="B374" s="162" t="n"/>
      <c r="D374" s="162" t="n"/>
      <c r="E374" s="162" t="n"/>
    </row>
    <row r="375">
      <c r="A375" s="162" t="n"/>
      <c r="B375" s="162" t="n"/>
      <c r="D375" s="162" t="n"/>
      <c r="E375" s="162" t="n"/>
    </row>
    <row r="376">
      <c r="A376" s="162" t="n"/>
      <c r="B376" s="162" t="n"/>
      <c r="D376" s="162" t="n"/>
      <c r="E376" s="162" t="n"/>
    </row>
    <row r="377">
      <c r="A377" s="162" t="n"/>
      <c r="B377" s="162" t="n"/>
      <c r="D377" s="162" t="n"/>
      <c r="E377" s="162" t="n"/>
    </row>
    <row r="378">
      <c r="A378" s="162" t="n"/>
      <c r="B378" s="162" t="n"/>
      <c r="D378" s="162" t="n"/>
      <c r="E378" s="162" t="n"/>
    </row>
    <row r="379">
      <c r="A379" s="162" t="n"/>
      <c r="B379" s="162" t="n"/>
      <c r="D379" s="162" t="n"/>
      <c r="E379" s="162" t="n"/>
    </row>
    <row r="380">
      <c r="A380" s="162" t="n"/>
      <c r="B380" s="162" t="n"/>
      <c r="D380" s="162" t="n"/>
      <c r="E380" s="162" t="n"/>
    </row>
    <row r="381">
      <c r="A381" s="162" t="n"/>
      <c r="B381" s="162" t="n"/>
      <c r="D381" s="162" t="n"/>
      <c r="E381" s="162" t="n"/>
    </row>
    <row r="382">
      <c r="A382" s="162" t="n"/>
      <c r="B382" s="162" t="n"/>
      <c r="D382" s="162" t="n"/>
      <c r="E382" s="162" t="n"/>
    </row>
    <row r="383">
      <c r="A383" s="162" t="n"/>
      <c r="B383" s="162" t="n"/>
      <c r="D383" s="162" t="n"/>
      <c r="E383" s="162" t="n"/>
    </row>
    <row r="384">
      <c r="A384" s="162" t="n"/>
      <c r="B384" s="162" t="n"/>
      <c r="D384" s="162" t="n"/>
      <c r="E384" s="162" t="n"/>
    </row>
    <row r="385">
      <c r="A385" s="162" t="n"/>
      <c r="B385" s="162" t="n"/>
      <c r="D385" s="162" t="n"/>
      <c r="E385" s="162" t="n"/>
    </row>
    <row r="386">
      <c r="A386" s="162" t="n"/>
      <c r="B386" s="162" t="n"/>
      <c r="D386" s="162" t="n"/>
      <c r="E386" s="162" t="n"/>
    </row>
    <row r="387">
      <c r="A387" s="162" t="n"/>
      <c r="B387" s="162" t="n"/>
      <c r="D387" s="162" t="n"/>
      <c r="E387" s="162" t="n"/>
    </row>
    <row r="388">
      <c r="A388" s="162" t="n"/>
      <c r="B388" s="162" t="n"/>
      <c r="D388" s="162" t="n"/>
      <c r="E388" s="162" t="n"/>
    </row>
    <row r="389">
      <c r="A389" s="162" t="n"/>
      <c r="B389" s="162" t="n"/>
      <c r="D389" s="162" t="n"/>
      <c r="E389" s="162" t="n"/>
    </row>
    <row r="390">
      <c r="A390" s="162" t="n"/>
      <c r="B390" s="162" t="n"/>
      <c r="D390" s="162" t="n"/>
      <c r="E390" s="162" t="n"/>
    </row>
    <row r="391">
      <c r="A391" s="162" t="n"/>
      <c r="B391" s="162" t="n"/>
      <c r="D391" s="162" t="n"/>
      <c r="E391" s="162" t="n"/>
    </row>
    <row r="392">
      <c r="A392" s="162" t="n"/>
      <c r="B392" s="162" t="n"/>
      <c r="D392" s="162" t="n"/>
      <c r="E392" s="162" t="n"/>
    </row>
    <row r="393">
      <c r="A393" s="162" t="n"/>
      <c r="B393" s="162" t="n"/>
      <c r="D393" s="162" t="n"/>
      <c r="E393" s="162" t="n"/>
    </row>
    <row r="394">
      <c r="A394" s="162" t="n"/>
      <c r="B394" s="162" t="n"/>
      <c r="D394" s="162" t="n"/>
      <c r="E394" s="162" t="n"/>
    </row>
    <row r="395">
      <c r="A395" s="162" t="n"/>
      <c r="B395" s="162" t="n"/>
      <c r="D395" s="162" t="n"/>
      <c r="E395" s="162" t="n"/>
    </row>
    <row r="396">
      <c r="A396" s="162" t="n"/>
      <c r="B396" s="162" t="n"/>
      <c r="D396" s="162" t="n"/>
      <c r="E396" s="162" t="n"/>
    </row>
    <row r="397">
      <c r="A397" s="162" t="n"/>
      <c r="B397" s="162" t="n"/>
      <c r="D397" s="162" t="n"/>
      <c r="E397" s="162" t="n"/>
    </row>
    <row r="398">
      <c r="A398" s="162" t="n"/>
      <c r="B398" s="162" t="n"/>
      <c r="D398" s="162" t="n"/>
      <c r="E398" s="162" t="n"/>
    </row>
    <row r="399">
      <c r="A399" s="162" t="n"/>
      <c r="B399" s="162" t="n"/>
      <c r="D399" s="162" t="n"/>
      <c r="E399" s="162" t="n"/>
    </row>
    <row r="400">
      <c r="A400" s="162" t="n"/>
      <c r="B400" s="162" t="n"/>
      <c r="D400" s="162" t="n"/>
      <c r="E400" s="162" t="n"/>
    </row>
  </sheetData>
  <sheetProtection selectLockedCells="0" selectUnlockedCells="0" algorithmName="SHA-512" sheet="1" objects="1" insertRows="1" insertHyperlinks="1" autoFilter="1" scenarios="1" formatColumns="1" deleteColumns="1" insertColumns="1" pivotTables="1" deleteRows="1" formatCells="1" saltValue="16keP57O+tVQKDGOlHIkSg==" formatRows="1" sort="1" spinCount="100000" hashValue="o8BcYCZlEn/mKHWWhZ1QFC9uFKiH8XLB93jucCCqVq7C+pf2ehHdi04DUpDF7S1T1p0RVQ07VGNtvwA6CA9Saw=="/>
  <pageMargins left="0.7" right="0.7" top="0.75" bottom="0.75" header="0.5118055555555555" footer="0.5118055555555555"/>
  <pageSetup orientation="portrait" paperSize="9" scale="54" firstPageNumber="0" horizontalDpi="300" verticalDpi="300"/>
</worksheet>
</file>

<file path=xl/worksheets/sheet4.xml><?xml version="1.0" encoding="utf-8"?>
<worksheet xmlns="http://schemas.openxmlformats.org/spreadsheetml/2006/main">
  <sheetPr codeName="Sheet5">
    <outlinePr summaryBelow="1" summaryRight="1"/>
    <pageSetUpPr/>
  </sheetPr>
  <dimension ref="A1:Q99"/>
  <sheetViews>
    <sheetView topLeftCell="A19" workbookViewId="0">
      <selection activeCell="E25" sqref="E25"/>
    </sheetView>
  </sheetViews>
  <sheetFormatPr baseColWidth="10" defaultColWidth="11.5" defaultRowHeight="15"/>
  <cols>
    <col width="35.1640625" customWidth="1" style="581" min="1" max="1"/>
    <col width="51.83203125" customWidth="1" style="581" min="2" max="2"/>
    <col width="5" customWidth="1" style="581" min="3" max="3"/>
    <col width="5.6640625" customWidth="1" style="581" min="4" max="4"/>
    <col width="9.33203125" customWidth="1" style="581" min="5" max="5"/>
    <col width="28.33203125" customWidth="1" style="581" min="6" max="6"/>
    <col width="46.1640625" customWidth="1" style="581" min="7" max="7"/>
    <col width="40.1640625" customWidth="1" style="581" min="8" max="8"/>
    <col width="60.83203125" customWidth="1" style="581" min="9" max="9"/>
    <col width="19.5" customWidth="1" style="581" min="10" max="10"/>
    <col width="92.83203125" customWidth="1" style="581" min="11" max="11"/>
    <col width="11.5" customWidth="1" style="581" min="12" max="12"/>
    <col width="53.6640625" customWidth="1" style="581" min="13" max="13"/>
    <col width="11.5" customWidth="1" style="581" min="14" max="14"/>
    <col width="11.5" customWidth="1" style="581" min="15" max="16384"/>
  </cols>
  <sheetData>
    <row r="1" ht="48" customHeight="1" s="486">
      <c r="A1" s="154" t="inlineStr">
        <is>
          <t>Section</t>
        </is>
      </c>
      <c r="B1" s="154" t="inlineStr">
        <is>
          <t>Name</t>
        </is>
      </c>
      <c r="C1" s="155" t="inlineStr">
        <is>
          <t>MinLength</t>
        </is>
      </c>
      <c r="D1" s="155" t="inlineStr">
        <is>
          <t>MaxLength</t>
        </is>
      </c>
      <c r="E1" s="154" t="inlineStr">
        <is>
          <t>Mandatory</t>
        </is>
      </c>
      <c r="F1" s="154" t="inlineStr">
        <is>
          <t>Validation Rule1</t>
        </is>
      </c>
      <c r="G1" s="154" t="inlineStr">
        <is>
          <t>Error Message</t>
        </is>
      </c>
      <c r="H1" s="154" t="inlineStr">
        <is>
          <t>Validation Rule2</t>
        </is>
      </c>
      <c r="I1" s="154" t="inlineStr">
        <is>
          <t>Error Message</t>
        </is>
      </c>
      <c r="J1" s="154" t="inlineStr">
        <is>
          <t>Validation Rule3</t>
        </is>
      </c>
      <c r="K1" s="154" t="inlineStr">
        <is>
          <t>Error Message</t>
        </is>
      </c>
      <c r="L1" s="156" t="n"/>
      <c r="M1" s="154" t="inlineStr">
        <is>
          <t>Section Name</t>
        </is>
      </c>
      <c r="N1" s="156" t="n"/>
      <c r="O1" s="156" t="n"/>
      <c r="P1" s="156" t="n"/>
      <c r="Q1" s="156" t="n"/>
    </row>
    <row r="2" ht="32" customHeight="1" s="486">
      <c r="A2" s="156" t="inlineStr">
        <is>
          <t>A_Basic_Info</t>
        </is>
      </c>
      <c r="B2" s="581" t="inlineStr">
        <is>
          <t>Personal Identification Number</t>
        </is>
      </c>
      <c r="C2" s="581" t="n">
        <v>11</v>
      </c>
      <c r="D2" s="581" t="n">
        <v>11</v>
      </c>
      <c r="E2" s="156" t="inlineStr">
        <is>
          <t>Y</t>
        </is>
      </c>
      <c r="F2" s="581" t="inlineStr">
        <is>
          <t>isMandatory(RetInf.PIN,E2)</t>
        </is>
      </c>
      <c r="G2" s="156">
        <f>CONCATENATE(B2,ErrMsg.Mandatory)</f>
        <v/>
      </c>
      <c r="H2" s="156" t="inlineStr">
        <is>
          <t>validatePIN(RetInf.PIN)</t>
        </is>
      </c>
      <c r="I2" s="156">
        <f>CONCATENATE("Please enter ",B2,ErrMsg.PinFormat)</f>
        <v/>
      </c>
      <c r="J2" s="156" t="inlineStr">
        <is>
          <t>checkPINDuplication("RetInf.PIN",RetInf.PIN)</t>
        </is>
      </c>
      <c r="K2" s="581" t="inlineStr">
        <is>
          <t>Personal Identification Number duplication. Personal Identification Number is already declared in any of  other sheets.</t>
        </is>
      </c>
      <c r="L2" s="156" t="n"/>
      <c r="M2" s="156" t="inlineStr">
        <is>
          <t>Section A Part 1 : Return Information</t>
        </is>
      </c>
      <c r="N2" s="156" t="n"/>
      <c r="O2" s="156" t="n"/>
      <c r="P2" s="156" t="n"/>
      <c r="Q2" s="156" t="n"/>
    </row>
    <row r="3" ht="16" customHeight="1" s="486">
      <c r="A3" s="156" t="inlineStr">
        <is>
          <t>A_Basic_Info</t>
        </is>
      </c>
      <c r="B3" s="581" t="inlineStr">
        <is>
          <t>Type of Return</t>
        </is>
      </c>
      <c r="C3" s="581" t="n">
        <v>1</v>
      </c>
      <c r="D3" s="581" t="n">
        <v>10</v>
      </c>
      <c r="E3" s="156" t="inlineStr">
        <is>
          <t>Y</t>
        </is>
      </c>
      <c r="F3" s="156" t="inlineStr">
        <is>
          <t>isMandatory(RetInf.RetType,E3)</t>
        </is>
      </c>
      <c r="G3" s="156">
        <f>CONCATENATE(B3,ErrMsg.Mandatory)</f>
        <v/>
      </c>
      <c r="H3" s="156" t="inlineStr">
        <is>
          <t>validateAlphaNumeric(RetInf.RetType)</t>
        </is>
      </c>
      <c r="I3" s="156" t="inlineStr">
        <is>
          <t>Please select return type from the combo box</t>
        </is>
      </c>
      <c r="J3" s="156" t="n"/>
      <c r="K3" s="156" t="n"/>
      <c r="L3" s="156" t="n"/>
      <c r="M3" s="156" t="inlineStr">
        <is>
          <t>Section A Part 1 : Return Information</t>
        </is>
      </c>
      <c r="N3" s="156" t="n"/>
      <c r="O3" s="156" t="n"/>
      <c r="P3" s="156" t="n"/>
      <c r="Q3" s="156" t="n"/>
    </row>
    <row r="4" ht="32" customHeight="1" s="486">
      <c r="A4" s="156" t="inlineStr">
        <is>
          <t>A_Basic_Info</t>
        </is>
      </c>
      <c r="B4" s="581" t="inlineStr">
        <is>
          <t>Return Period From</t>
        </is>
      </c>
      <c r="E4" s="156" t="inlineStr">
        <is>
          <t>Y</t>
        </is>
      </c>
      <c r="F4" s="156" t="inlineStr">
        <is>
          <t>isMandatory(RetInf.RetStartDate,E4)</t>
        </is>
      </c>
      <c r="G4" s="156">
        <f>CONCATENATE(B4,ErrMsg.Mandatory)</f>
        <v/>
      </c>
      <c r="H4" s="156" t="n"/>
      <c r="I4" s="156" t="n"/>
      <c r="J4" s="156" t="n"/>
      <c r="K4" s="156" t="n"/>
      <c r="L4" s="156" t="n"/>
      <c r="M4" s="156" t="inlineStr">
        <is>
          <t>Section A Part 1 : Return Information</t>
        </is>
      </c>
      <c r="N4" s="156" t="n"/>
      <c r="O4" s="156" t="n"/>
      <c r="P4" s="156" t="n"/>
      <c r="Q4" s="156" t="n"/>
    </row>
    <row r="5" ht="16" customHeight="1" s="486">
      <c r="A5" s="156" t="inlineStr">
        <is>
          <t>A_Basic_Info</t>
        </is>
      </c>
      <c r="B5" s="581" t="inlineStr">
        <is>
          <t>Return Period To</t>
        </is>
      </c>
      <c r="E5" s="156" t="inlineStr">
        <is>
          <t>y</t>
        </is>
      </c>
      <c r="F5" s="156" t="inlineStr">
        <is>
          <t>isMandatory(RetInf.RetEndDate,E5)</t>
        </is>
      </c>
      <c r="G5" s="156">
        <f>CONCATENATE(B5,ErrMsg.Mandatory)</f>
        <v/>
      </c>
      <c r="H5" s="156" t="n"/>
      <c r="I5" s="156" t="n"/>
      <c r="J5" s="156" t="n"/>
      <c r="K5" s="156" t="n"/>
      <c r="L5" s="156" t="n"/>
      <c r="M5" s="156" t="inlineStr">
        <is>
          <t>Section A Part 1 : Return Information</t>
        </is>
      </c>
      <c r="N5" s="156" t="n"/>
      <c r="O5" s="156" t="n"/>
      <c r="P5" s="156" t="n"/>
      <c r="Q5" s="156" t="n"/>
    </row>
    <row r="6" ht="32" customHeight="1" s="486">
      <c r="A6" s="156" t="inlineStr">
        <is>
          <t>A_Basic_Info</t>
        </is>
      </c>
      <c r="B6" s="581" t="inlineStr">
        <is>
          <t>Do you have any income other than employment income ?</t>
        </is>
      </c>
      <c r="E6" s="156" t="inlineStr">
        <is>
          <t>Y</t>
        </is>
      </c>
      <c r="F6" s="156" t="inlineStr">
        <is>
          <t>isMandatory(RetInf.DeclareSelfBusIncome,E6)</t>
        </is>
      </c>
      <c r="G6" s="156">
        <f>CONCATENATE(B6,ErrMsg.Mandatory)</f>
        <v/>
      </c>
      <c r="H6" s="156" t="n"/>
      <c r="I6" s="156" t="n"/>
      <c r="J6" s="156" t="n"/>
      <c r="K6" s="156" t="n"/>
      <c r="L6" s="156" t="n"/>
      <c r="M6" s="156" t="inlineStr">
        <is>
          <t>Section A Part 1 : Return Information</t>
        </is>
      </c>
      <c r="N6" s="156" t="n"/>
      <c r="O6" s="156" t="n"/>
      <c r="P6" s="156" t="n"/>
      <c r="Q6" s="156" t="n"/>
    </row>
    <row r="7" ht="32" customHeight="1" s="486">
      <c r="A7" s="156" t="inlineStr">
        <is>
          <t>A_Basic_Info</t>
        </is>
      </c>
      <c r="B7" s="581" t="inlineStr">
        <is>
          <t>Do you want to declare Wife's Income ?</t>
        </is>
      </c>
      <c r="E7" s="156" t="inlineStr">
        <is>
          <t>Y</t>
        </is>
      </c>
      <c r="F7" s="156" t="inlineStr">
        <is>
          <t>isMandatory(RetInf.DeclareWifeIncome,E7)</t>
        </is>
      </c>
      <c r="G7" s="156">
        <f>CONCATENATE(B7,ErrMsg.Mandatory)</f>
        <v/>
      </c>
      <c r="H7" s="156" t="n"/>
      <c r="I7" s="156" t="n"/>
      <c r="J7" s="156" t="n"/>
      <c r="K7" s="156" t="n"/>
      <c r="L7" s="156" t="n"/>
      <c r="M7" s="156" t="inlineStr">
        <is>
          <t>Section A Part 1 : Return Information</t>
        </is>
      </c>
      <c r="N7" s="156" t="n"/>
      <c r="O7" s="156" t="n"/>
      <c r="P7" s="156" t="n"/>
      <c r="Q7" s="156" t="n"/>
    </row>
    <row r="8" ht="48" customHeight="1" s="486">
      <c r="A8" s="156" t="inlineStr">
        <is>
          <t>A_Basic_Info</t>
        </is>
      </c>
      <c r="B8" s="581" t="inlineStr">
        <is>
          <t>Wife's PIN</t>
        </is>
      </c>
      <c r="C8" s="581" t="n">
        <v>11</v>
      </c>
      <c r="D8" s="581" t="n">
        <v>11</v>
      </c>
      <c r="E8" s="156" t="inlineStr">
        <is>
          <t>Y</t>
        </is>
      </c>
      <c r="F8" s="156" t="inlineStr">
        <is>
          <t>IF(RetInf.DeclareWifeIncome="Yes",isMandatory(RetInf.SpousePIN,E8),"NE")</t>
        </is>
      </c>
      <c r="G8" s="156">
        <f>CONCATENATE(B8,ErrMsg.Mandatory)</f>
        <v/>
      </c>
      <c r="H8" s="156" t="inlineStr">
        <is>
          <t>validatePIN(RetInf.SpousePIN)</t>
        </is>
      </c>
      <c r="I8" s="156">
        <f>CONCATENATE("Please enter ",B8,ErrMsg.PinFormat)</f>
        <v/>
      </c>
      <c r="J8" s="156" t="inlineStr">
        <is>
          <t>checkPINDuplication("RetInf.SpousePIN",RetInf.SpousePIN)</t>
        </is>
      </c>
      <c r="K8" s="581">
        <f>CONCATENATE(B8,ErrMsg.CompareToTaxPayerPin)</f>
        <v/>
      </c>
      <c r="L8" s="156" t="n"/>
      <c r="M8" s="156" t="inlineStr">
        <is>
          <t>Section A Part 1 : Return Information</t>
        </is>
      </c>
      <c r="N8" s="156" t="n"/>
      <c r="O8" s="156" t="n"/>
      <c r="P8" s="156" t="n"/>
      <c r="Q8" s="156" t="n"/>
    </row>
    <row r="9" ht="48" customHeight="1" s="486">
      <c r="A9" s="156" t="inlineStr">
        <is>
          <t>A_Basic_Info</t>
        </is>
      </c>
      <c r="B9" s="581" t="inlineStr">
        <is>
          <t>Does your wife have any income other than employment income ?</t>
        </is>
      </c>
      <c r="E9" s="156" t="inlineStr">
        <is>
          <t>Y</t>
        </is>
      </c>
      <c r="F9" s="156" t="inlineStr">
        <is>
          <t>IF(RetInf.DeclareWifeIncome="Yes",isMandatory(RetInf.DeclareWifeBusIncome,E9),"NE")</t>
        </is>
      </c>
      <c r="G9" s="156">
        <f>CONCATENATE(B9,ErrMsg.Mandatory)</f>
        <v/>
      </c>
      <c r="H9" s="156" t="n"/>
      <c r="I9" s="156" t="n"/>
      <c r="J9" s="156" t="n"/>
      <c r="L9" s="156" t="n"/>
      <c r="M9" s="156" t="inlineStr">
        <is>
          <t>Section A Part 1 : Return Information</t>
        </is>
      </c>
      <c r="N9" s="156" t="n"/>
      <c r="O9" s="156" t="n"/>
      <c r="P9" s="156" t="n"/>
      <c r="Q9" s="156" t="n"/>
    </row>
    <row r="10" ht="16" customHeight="1" s="486">
      <c r="A10" s="156" t="inlineStr">
        <is>
          <t>A_Basic_Info</t>
        </is>
      </c>
      <c r="B10" s="581" t="inlineStr">
        <is>
          <t xml:space="preserve">Pension Contribution(Self) </t>
        </is>
      </c>
      <c r="E10" s="156" t="inlineStr">
        <is>
          <t>N</t>
        </is>
      </c>
      <c r="F10" s="156" t="inlineStr">
        <is>
          <t>isMandatory(DedDtl.PensionS,E10)</t>
        </is>
      </c>
      <c r="G10" s="156">
        <f>CONCATENATE(B10,ErrMsg.Mandatory)</f>
        <v/>
      </c>
      <c r="H10" s="156" t="n"/>
      <c r="I10" s="156" t="n"/>
      <c r="J10" s="156" t="n"/>
      <c r="K10" s="156" t="n"/>
      <c r="L10" s="156" t="n"/>
      <c r="M10" s="156" t="inlineStr">
        <is>
          <t>Section A Part 1 : Return Information</t>
        </is>
      </c>
      <c r="N10" s="156" t="n"/>
      <c r="O10" s="156" t="n"/>
      <c r="P10" s="156" t="n"/>
      <c r="Q10" s="156" t="n"/>
    </row>
    <row r="11" ht="48" customHeight="1" s="486">
      <c r="A11" s="156" t="inlineStr">
        <is>
          <t>A_Basic_Info</t>
        </is>
      </c>
      <c r="B11" s="581" t="inlineStr">
        <is>
          <t xml:space="preserve">Pension Contribution(Wife) </t>
        </is>
      </c>
      <c r="D11" s="581" t="n">
        <v>15</v>
      </c>
      <c r="E11" s="156" t="inlineStr">
        <is>
          <t>N</t>
        </is>
      </c>
      <c r="F11" s="156" t="inlineStr">
        <is>
          <t>IF(RetInf.DeclareWifeIncome="Yes",isMandatory(DedDtl.PensionW,E11),"NE")</t>
        </is>
      </c>
      <c r="G11" s="156">
        <f>CONCATENATE(B11,ErrMsg.Mandatory)</f>
        <v/>
      </c>
      <c r="I11" s="156" t="n"/>
      <c r="M11" s="581" t="inlineStr">
        <is>
          <t>Section A Part 1 : Return Information</t>
        </is>
      </c>
    </row>
    <row r="12" ht="32" customHeight="1" s="486">
      <c r="A12" s="156" t="inlineStr">
        <is>
          <t>A_Basic_Info</t>
        </is>
      </c>
      <c r="B12" s="581" t="inlineStr">
        <is>
          <t xml:space="preserve">Personal Relief(Self) </t>
        </is>
      </c>
      <c r="D12" s="581" t="n">
        <v>15</v>
      </c>
      <c r="E12" s="156" t="inlineStr">
        <is>
          <t>N</t>
        </is>
      </c>
      <c r="F12" s="156" t="inlineStr">
        <is>
          <t>isMandatory(TaxComp.PersonalReliefS,E12)</t>
        </is>
      </c>
      <c r="G12" s="156">
        <f>CONCATENATE(B12,ErrMsg.Mandatory)</f>
        <v/>
      </c>
      <c r="I12" s="156" t="n"/>
      <c r="M12" s="581" t="inlineStr">
        <is>
          <t>Section A Part 1 : Return Information</t>
        </is>
      </c>
    </row>
    <row r="13" ht="48" customHeight="1" s="486">
      <c r="A13" s="156" t="inlineStr">
        <is>
          <t>A_Basic_Info</t>
        </is>
      </c>
      <c r="B13" s="581" t="inlineStr">
        <is>
          <t xml:space="preserve">Personal Relief(Wife) </t>
        </is>
      </c>
      <c r="D13" s="581" t="n">
        <v>15</v>
      </c>
      <c r="E13" s="156" t="inlineStr">
        <is>
          <t>N</t>
        </is>
      </c>
      <c r="F13" s="156" t="inlineStr">
        <is>
          <t>IF(RetInf.DeclareWifeIncome="Yes",isMandatory(TaxComp.PersonalReliefW,E13),"NE")</t>
        </is>
      </c>
      <c r="G13" s="156">
        <f>CONCATENATE(B13,ErrMsg.Mandatory)</f>
        <v/>
      </c>
      <c r="I13" s="156" t="n"/>
      <c r="M13" s="581" t="inlineStr">
        <is>
          <t>Section A Part 1 : Return Information</t>
        </is>
      </c>
    </row>
    <row r="14" ht="48" customHeight="1" s="486">
      <c r="A14" s="156" t="inlineStr">
        <is>
          <t>A_Basic_Info</t>
        </is>
      </c>
      <c r="B14" s="581" t="inlineStr">
        <is>
          <t>Exemption Certificate for Disability (Self)</t>
        </is>
      </c>
      <c r="E14" s="156" t="inlineStr">
        <is>
          <t>N</t>
        </is>
      </c>
      <c r="F14" s="156" t="inlineStr">
        <is>
          <t>IF(UPPER(RetInf.DeclareExemptionCerti)="YES",isListNonEmpty(ExemptCerti.ListS),"NE")</t>
        </is>
      </c>
      <c r="G14" s="156" t="inlineStr">
        <is>
          <t>You have declared to have been issued Exempted Certificate for Disability (Self). Please declare at least one Certificate.</t>
        </is>
      </c>
      <c r="I14" s="156" t="n"/>
      <c r="M14" s="581" t="inlineStr">
        <is>
          <t>Section A Part 1 : Return Information</t>
        </is>
      </c>
    </row>
    <row r="15" ht="48" customHeight="1" s="486">
      <c r="A15" s="156" t="inlineStr">
        <is>
          <t>A_Basic_Info</t>
        </is>
      </c>
      <c r="B15" s="581" t="inlineStr">
        <is>
          <t>Exemption Certificate for Disability (Wife)</t>
        </is>
      </c>
      <c r="E15" s="156" t="inlineStr">
        <is>
          <t>N</t>
        </is>
      </c>
      <c r="F15" s="156" t="inlineStr">
        <is>
          <t>IF(UPPER(RetInf.DeclareWifeExemptionCerti)="YES",isListNonEmpty(ExemptCerti.ListW),"NE")</t>
        </is>
      </c>
      <c r="G15" s="156" t="inlineStr">
        <is>
          <t>You have declared to have been issued Exempted Certificate for Disability (Wife). Please declare at least one Certificate.</t>
        </is>
      </c>
      <c r="I15" s="156" t="n"/>
      <c r="M15" s="581" t="inlineStr">
        <is>
          <t>Section A Part 1 : Return Information</t>
        </is>
      </c>
    </row>
    <row r="16" ht="32" customHeight="1" s="486">
      <c r="A16" s="156" t="inlineStr">
        <is>
          <t>A_Basic_Info</t>
        </is>
      </c>
      <c r="B16" s="581" t="inlineStr">
        <is>
          <t>Bank Name</t>
        </is>
      </c>
      <c r="D16" s="581" t="n">
        <v>15</v>
      </c>
      <c r="E16" s="156">
        <f>IF(FinalTax.TaxRefundDueS&lt;0,"N","N")</f>
        <v/>
      </c>
      <c r="F16" s="156" t="inlineStr">
        <is>
          <t>isMandatory(BankS,E16)</t>
        </is>
      </c>
      <c r="G16" s="156">
        <f>CONCATENATE(B16,ErrMsg.Mandatory)</f>
        <v/>
      </c>
      <c r="H16" s="581" t="inlineStr">
        <is>
          <t>validateAlphaNumeric(BankDtl.BankNameS)</t>
        </is>
      </c>
      <c r="I16" s="581">
        <f>ErrMsg.alphanumeric</f>
        <v/>
      </c>
      <c r="M16" s="581" t="inlineStr">
        <is>
          <t xml:space="preserve">Section A Part 2 : Bank Details </t>
        </is>
      </c>
    </row>
    <row r="17" ht="32" customHeight="1" s="486">
      <c r="A17" s="156" t="inlineStr">
        <is>
          <t>A_Basic_Info</t>
        </is>
      </c>
      <c r="B17" s="581" t="inlineStr">
        <is>
          <t>Branch Name</t>
        </is>
      </c>
      <c r="D17" s="581" t="n">
        <v>15</v>
      </c>
      <c r="E17" s="156">
        <f>IF(FinalTax.TaxRefundDueS&lt;0,"N","N")</f>
        <v/>
      </c>
      <c r="F17" s="156" t="inlineStr">
        <is>
          <t>isMandatory(BranchS,E17)</t>
        </is>
      </c>
      <c r="G17" s="156">
        <f>CONCATENATE(B17,ErrMsg.Mandatory)</f>
        <v/>
      </c>
      <c r="H17" s="581" t="inlineStr">
        <is>
          <t>validateAlphaNumeric(BankDtl.BranchNameS)</t>
        </is>
      </c>
      <c r="I17" s="581">
        <f>ErrMsg.alphanumeric</f>
        <v/>
      </c>
      <c r="M17" s="581" t="inlineStr">
        <is>
          <t xml:space="preserve">Section A Part 2 : Bank Details </t>
        </is>
      </c>
    </row>
    <row r="18" ht="16" customHeight="1" s="486">
      <c r="A18" s="156" t="inlineStr">
        <is>
          <t>A_Basic_Info</t>
        </is>
      </c>
      <c r="B18" s="581" t="inlineStr">
        <is>
          <t>City</t>
        </is>
      </c>
      <c r="D18" s="581" t="n">
        <v>15</v>
      </c>
      <c r="E18" s="156">
        <f>IF(FinalTax.TaxRefundDueS&lt;0,"N","N")</f>
        <v/>
      </c>
      <c r="F18" s="156" t="inlineStr">
        <is>
          <t>isMandatory(BankDtl.CityS,E18)</t>
        </is>
      </c>
      <c r="G18" s="156">
        <f>CONCATENATE(B18,ErrMsg.Mandatory)</f>
        <v/>
      </c>
      <c r="H18" s="581" t="inlineStr">
        <is>
          <t>validateAlphabetOnly(BankDtl.CityS)</t>
        </is>
      </c>
      <c r="I18" s="581" t="inlineStr">
        <is>
          <t xml:space="preserve">Please Enter alphabetic value. </t>
        </is>
      </c>
      <c r="M18" s="581" t="inlineStr">
        <is>
          <t xml:space="preserve">Section A Part 2 : Bank Details </t>
        </is>
      </c>
    </row>
    <row r="19" ht="32" customHeight="1" s="486">
      <c r="A19" s="156" t="inlineStr">
        <is>
          <t>A_Basic_Info</t>
        </is>
      </c>
      <c r="B19" s="581" t="inlineStr">
        <is>
          <t>Account Holder's Name</t>
        </is>
      </c>
      <c r="D19" s="581" t="n">
        <v>15</v>
      </c>
      <c r="E19" s="156">
        <f>IF(FinalTax.TaxRefundDueS&lt;0,"N","N")</f>
        <v/>
      </c>
      <c r="F19" s="156" t="inlineStr">
        <is>
          <t>isMandatory(BankDtl.AccNameS,E19)</t>
        </is>
      </c>
      <c r="G19" s="156">
        <f>CONCATENATE(B19,ErrMsg.Mandatory)</f>
        <v/>
      </c>
      <c r="H19" s="156" t="inlineStr">
        <is>
          <t>validateAlphaNumericForAccName(BankDtl.AccNameS)</t>
        </is>
      </c>
      <c r="I19" s="581" t="inlineStr">
        <is>
          <t>Please enter alphanumeric value only special characters like Space , - . / : &amp; _ ' (  ) are allowed.</t>
        </is>
      </c>
      <c r="M19" s="581" t="inlineStr">
        <is>
          <t xml:space="preserve">Section A Part 2 : Bank Details </t>
        </is>
      </c>
    </row>
    <row r="20" ht="48" customHeight="1" s="486">
      <c r="A20" s="156" t="inlineStr">
        <is>
          <t>A_Basic_Info</t>
        </is>
      </c>
      <c r="B20" s="581" t="inlineStr">
        <is>
          <t>Account Holder's Name</t>
        </is>
      </c>
      <c r="D20" s="581" t="n">
        <v>15</v>
      </c>
      <c r="E20" s="156" t="inlineStr">
        <is>
          <t>N</t>
        </is>
      </c>
      <c r="F20" s="156" t="inlineStr">
        <is>
          <t>IF(RetInf.DeclareWifeIncome="Yes",isMandatory(BankDtl.AccNameW,E20),"NE")</t>
        </is>
      </c>
      <c r="G20" s="156">
        <f>CONCATENATE(B20,ErrMsg.Mandatory)</f>
        <v/>
      </c>
      <c r="H20" s="156" t="inlineStr">
        <is>
          <t>validateAlphaNumeric(BankDtl.AccNameW)</t>
        </is>
      </c>
      <c r="I20" s="581">
        <f>ErrMsg.alphanumeric</f>
        <v/>
      </c>
      <c r="M20" s="581" t="inlineStr">
        <is>
          <t xml:space="preserve">Section A Part 2 : Bank Details </t>
        </is>
      </c>
    </row>
    <row r="21" ht="32" customHeight="1" s="486">
      <c r="A21" s="156" t="inlineStr">
        <is>
          <t>A_Basic_Info</t>
        </is>
      </c>
      <c r="B21" s="581" t="inlineStr">
        <is>
          <t xml:space="preserve">Account Number </t>
        </is>
      </c>
      <c r="D21" s="581" t="n">
        <v>15</v>
      </c>
      <c r="E21" s="156">
        <f>IF(FinalTax.TaxRefundDueS&lt;0,"N","N")</f>
        <v/>
      </c>
      <c r="F21" s="156" t="inlineStr">
        <is>
          <t>isMandatory(BankDtl.AccNumberS,E21)</t>
        </is>
      </c>
      <c r="G21" s="156">
        <f>CONCATENATE(B21,ErrMsg.Mandatory)</f>
        <v/>
      </c>
      <c r="H21" s="156" t="inlineStr">
        <is>
          <t>validateAlphaNumeric(BankDtl.AccNumberS)</t>
        </is>
      </c>
      <c r="I21" s="581">
        <f>ErrMsg.alphanumeric</f>
        <v/>
      </c>
      <c r="M21" s="581" t="inlineStr">
        <is>
          <t xml:space="preserve">Section A Part 2 : Bank Details </t>
        </is>
      </c>
    </row>
    <row r="22" ht="48" customHeight="1" s="486">
      <c r="A22" s="156" t="inlineStr">
        <is>
          <t>A_Basic_Info</t>
        </is>
      </c>
      <c r="B22" s="581" t="inlineStr">
        <is>
          <t xml:space="preserve">Account Number </t>
        </is>
      </c>
      <c r="D22" s="581" t="n">
        <v>15</v>
      </c>
      <c r="E22" s="156" t="inlineStr">
        <is>
          <t>N</t>
        </is>
      </c>
      <c r="F22" s="156" t="inlineStr">
        <is>
          <t>IF(RetInf.DeclareWifeIncome="Yes",isMandatory(BankDtl.AccNumberW,E22),"NE")</t>
        </is>
      </c>
      <c r="G22" s="156">
        <f>CONCATENATE(B22,ErrMsg.Mandatory)</f>
        <v/>
      </c>
      <c r="H22" s="156" t="inlineStr">
        <is>
          <t>validateAlphaNumeric(BankDtl.AccNumberW)</t>
        </is>
      </c>
      <c r="I22" s="581">
        <f>ErrMsg.alphanumeric</f>
        <v/>
      </c>
      <c r="M22" s="581" t="inlineStr">
        <is>
          <t xml:space="preserve">Section A Part 2 : Bank Details </t>
        </is>
      </c>
    </row>
    <row r="23" ht="64" customHeight="1" s="486">
      <c r="A23" s="156" t="inlineStr">
        <is>
          <t>A_Basic_Info</t>
        </is>
      </c>
      <c r="B23" s="581" t="inlineStr">
        <is>
          <t>PIN of Auditor (Self)</t>
        </is>
      </c>
      <c r="D23" s="581" t="n">
        <v>11</v>
      </c>
      <c r="E23" s="156" t="inlineStr">
        <is>
          <t>N</t>
        </is>
      </c>
      <c r="F23" s="156" t="inlineStr">
        <is>
          <t>IF(UPPER(RetInf.DeclareSelfBusIncome) = "YES",isMandatory(audit.PINOfAuditorS,E23),"NE")</t>
        </is>
      </c>
      <c r="G23" s="156">
        <f>CONCATENATE(B23,ErrMsg.Mandatory)</f>
        <v/>
      </c>
      <c r="H23" s="156" t="inlineStr">
        <is>
          <t>validatePIN(audit.PINOfAuditorS)</t>
        </is>
      </c>
      <c r="I23" s="156">
        <f>CONCATENATE("Please enter ",B23,ErrMsg.PinFormat)</f>
        <v/>
      </c>
      <c r="J23" s="581" t="inlineStr">
        <is>
          <t>checkPINDuplicationAuditorWithSelfPIN("audit.PINOfAuditorS",audit.PINOfAuditorS)</t>
        </is>
      </c>
      <c r="K23" s="581" t="inlineStr">
        <is>
          <t>PIN of Auditor (self) cannot be same as Taxpayer's PIN or Wife PIN.</t>
        </is>
      </c>
      <c r="M23" s="581" t="inlineStr">
        <is>
          <t>Section A Part 3 : Details of Auditor</t>
        </is>
      </c>
    </row>
    <row r="24" ht="64" customHeight="1" s="486">
      <c r="A24" s="156" t="inlineStr">
        <is>
          <t>A_Basic_Info</t>
        </is>
      </c>
      <c r="B24" s="581" t="inlineStr">
        <is>
          <t>Name of Auditor (Self)</t>
        </is>
      </c>
      <c r="D24" s="581" t="n">
        <v>50</v>
      </c>
      <c r="E24" s="156" t="inlineStr">
        <is>
          <t>N</t>
        </is>
      </c>
      <c r="F24" s="156" t="inlineStr">
        <is>
          <t>IF(UPPER(RetInf.DeclareSelfBusIncome) = "YES",isMandatory(audit.NameOfAuditorS,E24),"NE")</t>
        </is>
      </c>
      <c r="G24" s="156">
        <f>CONCATENATE(B24,ErrMsg.Mandatory)</f>
        <v/>
      </c>
      <c r="H24" s="156" t="inlineStr">
        <is>
          <t>validateAlphaNumeric(audit.NameOfAuditorS)</t>
        </is>
      </c>
      <c r="I24" s="581">
        <f>ErrMsg.alphanumeric</f>
        <v/>
      </c>
      <c r="M24" s="581" t="inlineStr">
        <is>
          <t>Section A Part 3 : Details of Auditor</t>
        </is>
      </c>
    </row>
    <row r="25" ht="64" customHeight="1" s="486">
      <c r="A25" s="156" t="inlineStr">
        <is>
          <t>A_Basic_Info</t>
        </is>
      </c>
      <c r="B25" s="581" t="inlineStr">
        <is>
          <t>Date of Audit Certificate (Self)</t>
        </is>
      </c>
      <c r="D25" s="581" t="n">
        <v>10</v>
      </c>
      <c r="E25" s="156" t="inlineStr">
        <is>
          <t>N</t>
        </is>
      </c>
      <c r="F25" s="156" t="inlineStr">
        <is>
          <t>IF(UPPER(RetInf.DeclareSelfBusIncome) = "YES",isMandatory(audit.DateOfAuditCertiS,E25),"NE")</t>
        </is>
      </c>
      <c r="G25" s="156">
        <f>CONCATENATE(B25,ErrMsg.Mandatory)</f>
        <v/>
      </c>
      <c r="H25" s="156" t="inlineStr">
        <is>
          <t>validateDate(audit.DateOfAuditCertiS)</t>
        </is>
      </c>
      <c r="I25" s="151">
        <f>CONCATENATE("Please enter ",B25,ErrMsg.DateFormat)</f>
        <v/>
      </c>
      <c r="J25" s="581" t="inlineStr">
        <is>
          <t>IF(audit.DateOfAuditCertiS&lt;&gt;"",validateAuditDate(audit.DateOfAuditCertiS),"NE")</t>
        </is>
      </c>
      <c r="K25" s="581" t="inlineStr">
        <is>
          <t>Date of Audit Certificate Should be after accounting year end and before end of 6 months from accounting year end.</t>
        </is>
      </c>
      <c r="M25" s="581" t="inlineStr">
        <is>
          <t>Section A Part 3 : Details of Auditor</t>
        </is>
      </c>
    </row>
    <row r="26" ht="80" customHeight="1" s="486">
      <c r="A26" s="156" t="inlineStr">
        <is>
          <t>A_Basic_Info</t>
        </is>
      </c>
      <c r="B26" s="581" t="inlineStr">
        <is>
          <t>PIN of Auditor (Wife)</t>
        </is>
      </c>
      <c r="D26" s="581" t="n">
        <v>11</v>
      </c>
      <c r="E26" s="156" t="inlineStr">
        <is>
          <t>N</t>
        </is>
      </c>
      <c r="F26" s="156" t="inlineStr">
        <is>
          <t>IF(AND(RetInf.DeclareWifeIncome="Yes",UPPER(RetInf.DeclareWifeBusIncome) = "YES"),isMandatory(audit.PINOfAuditorW,E26),"NE")</t>
        </is>
      </c>
      <c r="G26" s="156">
        <f>CONCATENATE(B26,ErrMsg.Mandatory)</f>
        <v/>
      </c>
      <c r="H26" s="156" t="inlineStr">
        <is>
          <t>validatePIN(audit.PINOfAuditorW)</t>
        </is>
      </c>
      <c r="I26" s="156">
        <f>CONCATENATE("Please enter ",B26,ErrMsg.PinFormat)</f>
        <v/>
      </c>
      <c r="J26" s="581" t="inlineStr">
        <is>
          <t>checkPINDuplicationAuditorWithSelfPIN("audit.PINOfAuditorW",audit.PINOfAuditorW)</t>
        </is>
      </c>
      <c r="K26" s="581" t="inlineStr">
        <is>
          <t>PIN of Auditor (Wife) cannot be same as Taxpayer's PIN or Wife PIN.</t>
        </is>
      </c>
      <c r="M26" s="581" t="inlineStr">
        <is>
          <t>Section A Part 3 : Details of Auditor</t>
        </is>
      </c>
    </row>
    <row r="27" ht="80" customHeight="1" s="486">
      <c r="A27" s="156" t="inlineStr">
        <is>
          <t>A_Basic_Info</t>
        </is>
      </c>
      <c r="B27" s="581" t="inlineStr">
        <is>
          <t>Name of Auditor (Wife)</t>
        </is>
      </c>
      <c r="D27" s="581" t="n">
        <v>50</v>
      </c>
      <c r="E27" s="156" t="inlineStr">
        <is>
          <t>N</t>
        </is>
      </c>
      <c r="F27" s="156" t="inlineStr">
        <is>
          <t>IF(AND(RetInf.DeclareWifeIncome="Yes",UPPER(RetInf.DeclareWifeBusIncome) = "YES"),isMandatory(audit.NameOfAuditorW,E27),"NE")</t>
        </is>
      </c>
      <c r="G27" s="156">
        <f>CONCATENATE(B27,ErrMsg.Mandatory)</f>
        <v/>
      </c>
      <c r="H27" s="156" t="inlineStr">
        <is>
          <t>validateAlphaNumeric(audit.NameOfAuditorW)</t>
        </is>
      </c>
      <c r="I27" s="581">
        <f>ErrMsg.alphanumeric</f>
        <v/>
      </c>
      <c r="M27" s="581" t="inlineStr">
        <is>
          <t>Section A Part 3 : Details of Auditor</t>
        </is>
      </c>
    </row>
    <row r="28" ht="80" customHeight="1" s="486">
      <c r="A28" s="156" t="inlineStr">
        <is>
          <t>A_Basic_Info</t>
        </is>
      </c>
      <c r="B28" s="581" t="inlineStr">
        <is>
          <t>Date of Audit Certificate (Wife)</t>
        </is>
      </c>
      <c r="D28" s="581" t="n">
        <v>10</v>
      </c>
      <c r="E28" s="156" t="inlineStr">
        <is>
          <t>N</t>
        </is>
      </c>
      <c r="F28" s="156" t="inlineStr">
        <is>
          <t>IF(AND(RetInf.DeclareWifeIncome="Yes",UPPER(RetInf.DeclareWifeBusIncome) = "YES"),isMandatory(audit.DateOfAuditCertiW,E28),"NE")</t>
        </is>
      </c>
      <c r="G28" s="156">
        <f>CONCATENATE(B28,ErrMsg.Mandatory)</f>
        <v/>
      </c>
      <c r="H28" s="156" t="inlineStr">
        <is>
          <t>validateDate(audit.DateOfAuditCertiW)</t>
        </is>
      </c>
      <c r="I28" s="151">
        <f>CONCATENATE("Please enter ",B28,ErrMsg.DateFormat)</f>
        <v/>
      </c>
      <c r="J28" s="581" t="inlineStr">
        <is>
          <t>IF(audit.DateOfAuditCertiW&lt;&gt;"",validateAuditDate(audit.DateOfAuditCertiW),"NE")</t>
        </is>
      </c>
      <c r="K28" s="581" t="inlineStr">
        <is>
          <t>Date of Audit Certificate Should be after accounting year end and before end of 6 months from accounting year end.</t>
        </is>
      </c>
      <c r="M28" s="581" t="inlineStr">
        <is>
          <t>Section A Part 3 : Details of Auditor</t>
        </is>
      </c>
    </row>
    <row r="29" ht="48" customHeight="1" s="486">
      <c r="A29" s="581" t="inlineStr">
        <is>
          <t>B_Profit_Loss_Account_Self</t>
        </is>
      </c>
      <c r="B29" s="581" t="inlineStr">
        <is>
          <t>Profit / Surplus / (Loss) before Tax (Self)</t>
        </is>
      </c>
      <c r="E29" s="581" t="inlineStr">
        <is>
          <t>N</t>
        </is>
      </c>
      <c r="F29" s="581" t="inlineStr">
        <is>
          <t>IF(RetInf.DeclareSelfBusIncome="Yes",isMandatory(PLA.ProfitLossBeforeTaxS,E29,"","Y"),"NE")</t>
        </is>
      </c>
      <c r="G29" s="248">
        <f>CONCATENATE(B29,ErrMsg.Mandatory)</f>
        <v/>
      </c>
      <c r="M29" s="581" t="inlineStr">
        <is>
          <t>Section B : Profit / Surplus and Loss Account (Self)</t>
        </is>
      </c>
    </row>
    <row r="30" ht="48" customHeight="1" s="486">
      <c r="A30" s="581" t="inlineStr">
        <is>
          <t>B_Profit_Loss_Account_Wife</t>
        </is>
      </c>
      <c r="B30" s="581" t="inlineStr">
        <is>
          <t>Profit / Surplus / (Loss) before Tax (Wife)</t>
        </is>
      </c>
      <c r="E30" s="581" t="inlineStr">
        <is>
          <t>N</t>
        </is>
      </c>
      <c r="F30" s="581" t="inlineStr">
        <is>
          <t>IF(RetInf.DeclareWifeBusIncome="Yes",isMandatory(PLA.ProfitLossBeforeTaxW,E30,"","Y"),"NE")</t>
        </is>
      </c>
      <c r="G30" s="248">
        <f>CONCATENATE(B30,ErrMsg.Mandatory)</f>
        <v/>
      </c>
      <c r="M30" s="581" t="inlineStr">
        <is>
          <t>Section B : Profit / Surplus and Loss Account (Wife)</t>
        </is>
      </c>
    </row>
    <row r="31" ht="128" customHeight="1" s="486">
      <c r="A31" s="581" t="inlineStr">
        <is>
          <t>B_Profit_Loss_Account_Self</t>
        </is>
      </c>
      <c r="B31" s="581" t="inlineStr">
        <is>
          <t>Gross Turnover of Business or Profession</t>
        </is>
      </c>
      <c r="E31" s="581" t="inlineStr">
        <is>
          <t>N</t>
        </is>
      </c>
      <c r="F31" s="581" t="inlineStr">
        <is>
          <t>IF(RetInf.DeclareSelfBusIncome="Yes",isMandatory(PLA.GrossTurnoverBPConToS,E31,"","Y"),"NE")</t>
        </is>
      </c>
      <c r="G31" s="248">
        <f>CONCATENATE(B31,ErrMsg.Mandatory)</f>
        <v/>
      </c>
      <c r="H31" s="581" t="inlineStr">
        <is>
          <t>IF(RetInf.DeclareSelfBusIncome="Yes",compareValuesZeroCheckProfitLossSelf(PLA.GrossTurnoverBPConToS,PLA.OpeningStockS,PLA.PurchasesS,PLA.OtherDirectCostsS,PLA.OverHeadsS,PLA.ClosingStockS,PLA.OtherIncomeS,PLA.OperatingExpenseS,PLA.AdministrativeExpenseS,PLA.EmploymentExpensesS,PLA.FinancialExpensesS,PLA.OtherExpensesPartIS),"NE")</t>
        </is>
      </c>
      <c r="I31" s="581" t="inlineStr">
        <is>
          <t>Section B_Profit_Loss_Account_Self mandatory.</t>
        </is>
      </c>
      <c r="M31" s="581" t="inlineStr">
        <is>
          <t>Section B : Profit / Surplus and Loss Account (Self)</t>
        </is>
      </c>
    </row>
    <row r="32" ht="128" customHeight="1" s="486">
      <c r="A32" s="581" t="inlineStr">
        <is>
          <t>B_Profit_Loss_Account_Wife</t>
        </is>
      </c>
      <c r="B32" s="581" t="inlineStr">
        <is>
          <t>Gross Turnover of Business or Profession</t>
        </is>
      </c>
      <c r="E32" s="581" t="inlineStr">
        <is>
          <t>N</t>
        </is>
      </c>
      <c r="F32" s="581" t="inlineStr">
        <is>
          <t>IF(RetInf.DeclareSelfBusIncome="Yes",isMandatory(PLA.GrossTurnoverBPConToW,E32,"","Y"),"NE")</t>
        </is>
      </c>
      <c r="G32" s="248">
        <f>CONCATENATE(B32,ErrMsg.Mandatory)</f>
        <v/>
      </c>
      <c r="H32" s="581" t="inlineStr">
        <is>
          <t>IF(RetInf.DeclareWifeBusIncome="Yes",compareValuesZeroCheckProfitLossWife(PLA.GrossTurnoverBPConToW,PLA.OpeningStockW,PLA.PurchasesW,PLA.OtherDirectCostsW,PLA.OverHeadsW,PLA.ClosingStockW,PLA.OtherIncomeW,PLA.OperatingExpenseW,PLA.AdministrativeExpenseW,PLA.EmploymentExpensesW,PLA.FinancialExpensesW,PLA.OtherExpensesPartIW),"NE")</t>
        </is>
      </c>
      <c r="I32" s="581" t="inlineStr">
        <is>
          <t>Section B_Profit_Loss_Account_Wife mandatory.</t>
        </is>
      </c>
      <c r="M32" s="581" t="inlineStr">
        <is>
          <t>Section B : Profit / Surplus and Loss Account (Wife)</t>
        </is>
      </c>
    </row>
    <row r="33" ht="48" customHeight="1" s="486">
      <c r="A33" s="248" t="inlineStr">
        <is>
          <t>C_Balance_Sheet</t>
        </is>
      </c>
      <c r="B33" s="581" t="inlineStr">
        <is>
          <t>Net Assets (Self)</t>
        </is>
      </c>
      <c r="C33" s="248" t="n"/>
      <c r="D33" s="581" t="n">
        <v>15</v>
      </c>
      <c r="E33" s="156" t="inlineStr">
        <is>
          <t>Y</t>
        </is>
      </c>
      <c r="F33" s="581" t="inlineStr">
        <is>
          <t>IF(RetInf.DeclareSelfBusIncome="Yes",isMandatory(BalSt.TotalAStS,E33,"","Y"),"NE")</t>
        </is>
      </c>
      <c r="G33" s="248">
        <f>CONCATENATE(B33,ErrMsg.Mandatory)</f>
        <v/>
      </c>
      <c r="M33" s="581" t="inlineStr">
        <is>
          <t>Section C : Balance Sheet</t>
        </is>
      </c>
    </row>
    <row r="34" ht="48" customHeight="1" s="486">
      <c r="A34" s="248" t="inlineStr">
        <is>
          <t>C_Balance_Sheet</t>
        </is>
      </c>
      <c r="B34" s="581" t="inlineStr">
        <is>
          <t>Total Liabilities (Self)</t>
        </is>
      </c>
      <c r="C34" s="248" t="n"/>
      <c r="D34" s="581" t="n">
        <v>15</v>
      </c>
      <c r="E34" s="156" t="inlineStr">
        <is>
          <t>Y</t>
        </is>
      </c>
      <c r="F34" s="581" t="inlineStr">
        <is>
          <t>IF(RetInf.DeclareSelfBusIncome="Yes",isMandatory(BalSt.ProprietorFundLngTrmLaibtyS,E34,"","Y"),"NE")</t>
        </is>
      </c>
      <c r="G34" s="248">
        <f>CONCATENATE(B34,ErrMsg.Mandatory)</f>
        <v/>
      </c>
      <c r="M34" s="581" t="inlineStr">
        <is>
          <t>Section C : Balance Sheet</t>
        </is>
      </c>
    </row>
    <row r="35" ht="48" customHeight="1" s="486">
      <c r="A35" s="248" t="inlineStr">
        <is>
          <t>C_Balance_Sheet</t>
        </is>
      </c>
      <c r="B35" s="581" t="inlineStr">
        <is>
          <t>Net Assets (Wife)</t>
        </is>
      </c>
      <c r="C35" s="248" t="n"/>
      <c r="D35" s="581" t="n">
        <v>15</v>
      </c>
      <c r="E35" s="156" t="inlineStr">
        <is>
          <t>Y</t>
        </is>
      </c>
      <c r="F35" s="581" t="inlineStr">
        <is>
          <t>IF(RetInf.DeclareWifeBusIncome="Yes",isMandatory(BalSt.TotalAStW,E35,"","Y"),"NE")</t>
        </is>
      </c>
      <c r="G35" s="248">
        <f>CONCATENATE(B35,ErrMsg.Mandatory)</f>
        <v/>
      </c>
      <c r="M35" s="581" t="inlineStr">
        <is>
          <t>Section C : Balance Sheet</t>
        </is>
      </c>
    </row>
    <row r="36" ht="64" customHeight="1" s="486">
      <c r="A36" s="156" t="inlineStr">
        <is>
          <t>C_Balance_Sheet</t>
        </is>
      </c>
      <c r="B36" s="581" t="inlineStr">
        <is>
          <t>Total Liabilities (Wife)</t>
        </is>
      </c>
      <c r="D36" s="581" t="n">
        <v>15</v>
      </c>
      <c r="E36" s="156" t="inlineStr">
        <is>
          <t>Y</t>
        </is>
      </c>
      <c r="F36" s="581" t="inlineStr">
        <is>
          <t>IF(RetInf.DeclareWifeBusIncome="Yes",isMandatory(BalSt.ProprietorFundLngTrmLaibtyW,E36,"","Y"),"NE")</t>
        </is>
      </c>
      <c r="G36" s="248">
        <f>CONCATENATE(B36,ErrMsg.Mandatory)</f>
        <v/>
      </c>
      <c r="M36" s="581" t="inlineStr">
        <is>
          <t>Section C : Balance Sheet</t>
        </is>
      </c>
    </row>
    <row r="37" ht="32" customHeight="1" s="486">
      <c r="A37" s="156" t="inlineStr">
        <is>
          <t>C_Balance_Sheet</t>
        </is>
      </c>
      <c r="B37" s="581" t="inlineStr">
        <is>
          <t>Net Assets (Self)</t>
        </is>
      </c>
      <c r="E37" s="156" t="inlineStr">
        <is>
          <t>N</t>
        </is>
      </c>
      <c r="F37" s="581" t="inlineStr">
        <is>
          <t>isMandatory(BalSt.TotalAStS,E37)</t>
        </is>
      </c>
      <c r="G37" s="248">
        <f>CONCATENATE(B37,ErrMsg.Mandatory)</f>
        <v/>
      </c>
      <c r="H37" s="581" t="inlineStr">
        <is>
          <t>compareValues(BalSt.TotalAStS,BalSt.ProprietorFundLngTrmLaibtyS)</t>
        </is>
      </c>
      <c r="I37" s="581" t="inlineStr">
        <is>
          <t>The amount of Net Assets must be equal to "Total Liabilities" in C_Balance_Sheet</t>
        </is>
      </c>
      <c r="M37" s="581" t="inlineStr">
        <is>
          <t>Section C : Balance Sheet</t>
        </is>
      </c>
    </row>
    <row r="38" ht="32" customHeight="1" s="486">
      <c r="A38" s="156" t="inlineStr">
        <is>
          <t>C_Balance_Sheet</t>
        </is>
      </c>
      <c r="B38" s="581" t="inlineStr">
        <is>
          <t>Total Liabilities (Self)</t>
        </is>
      </c>
      <c r="E38" s="156" t="inlineStr">
        <is>
          <t>N</t>
        </is>
      </c>
      <c r="F38" s="581" t="inlineStr">
        <is>
          <t>isMandatory(BalSt.ProprietorFundLngTrmLaibtyS,E38)</t>
        </is>
      </c>
      <c r="G38" s="248">
        <f>CONCATENATE(B38,ErrMsg.Mandatory)</f>
        <v/>
      </c>
      <c r="H38" s="581" t="inlineStr">
        <is>
          <t>compareValues(BalSt.ProprietorFundLngTrmLaibtyS,BalSt.TotalAStS)</t>
        </is>
      </c>
      <c r="I38" s="581" t="inlineStr">
        <is>
          <t>The amount of Total Liabilities must be equal to "Net Assets" in C_Balance_Sheet</t>
        </is>
      </c>
      <c r="M38" s="581" t="inlineStr">
        <is>
          <t>Section C : Balance Sheet</t>
        </is>
      </c>
    </row>
    <row r="39" ht="48" customHeight="1" s="486">
      <c r="A39" s="156" t="inlineStr">
        <is>
          <t>C_Balance_Sheet</t>
        </is>
      </c>
      <c r="B39" s="581" t="inlineStr">
        <is>
          <t>Net Assets (Wife)</t>
        </is>
      </c>
      <c r="E39" s="156" t="inlineStr">
        <is>
          <t>N</t>
        </is>
      </c>
      <c r="F39" s="581" t="inlineStr">
        <is>
          <t>isMandatory(BalSt.TotalAStW,E39)</t>
        </is>
      </c>
      <c r="G39" s="248">
        <f>CONCATENATE(B39,ErrMsg.Mandatory)</f>
        <v/>
      </c>
      <c r="H39" s="581" t="inlineStr">
        <is>
          <t>IF(RetInf.DeclareWifeIncome="Yes",compareValues(BalSt.TotalAStW,BalSt.ProprietorFundLngTrmLaibtyW),"NE")</t>
        </is>
      </c>
      <c r="I39" s="581" t="inlineStr">
        <is>
          <t>The amount of Net Assets must be equal to "Total Liabilities" in C_Balance_Sheet</t>
        </is>
      </c>
      <c r="M39" s="581" t="inlineStr">
        <is>
          <t>Section C : Balance Sheet</t>
        </is>
      </c>
    </row>
    <row r="40" ht="48" customHeight="1" s="486">
      <c r="A40" s="156" t="inlineStr">
        <is>
          <t>C_Balance_Sheet</t>
        </is>
      </c>
      <c r="B40" s="581" t="inlineStr">
        <is>
          <t>Total Liabilities (Wife)</t>
        </is>
      </c>
      <c r="E40" s="156" t="inlineStr">
        <is>
          <t>N</t>
        </is>
      </c>
      <c r="F40" s="581" t="inlineStr">
        <is>
          <t>isMandatory(BalSt.ProprietorFundLngTrmLaibtyW,E40)</t>
        </is>
      </c>
      <c r="G40" s="248">
        <f>CONCATENATE(B40,ErrMsg.Mandatory)</f>
        <v/>
      </c>
      <c r="H40" s="581" t="inlineStr">
        <is>
          <t>IF(RetInf.DeclareWifeIncome="Yes",compareValues(BalSt.ProprietorFundLngTrmLaibtyW,BalSt.TotalAStW),"NE")</t>
        </is>
      </c>
      <c r="I40" s="581" t="inlineStr">
        <is>
          <t>The amount of Total Liabilities must be equal to "Net Assets" in C_Balance_Sheet</t>
        </is>
      </c>
      <c r="M40" s="581" t="inlineStr">
        <is>
          <t>Section C : Balance Sheet</t>
        </is>
      </c>
    </row>
    <row r="41" ht="48" customHeight="1" s="486">
      <c r="A41" s="156" t="inlineStr">
        <is>
          <t>F_Employment_Income</t>
        </is>
      </c>
      <c r="B41" s="581" t="inlineStr">
        <is>
          <t>Jan to Dec Employment Income (Self)</t>
        </is>
      </c>
      <c r="E41" s="156" t="inlineStr">
        <is>
          <t>Y</t>
        </is>
      </c>
      <c r="F41" s="581" t="inlineStr">
        <is>
          <t>isMandatory(EmpIncome.ListSTOJanDecSum,E41)</t>
        </is>
      </c>
      <c r="G41" s="156" t="inlineStr">
        <is>
          <t>Income for January to March and April to December are mandatory fields.</t>
        </is>
      </c>
      <c r="H41" s="581" t="inlineStr">
        <is>
          <t>validateJanDecIncome2020(EmpIncome.ListSTOJanDecSum,EmpIncome.ListSTO,EmpIncome.ListSTOJANMAR,SecA.RtnYear)</t>
        </is>
      </c>
      <c r="I41" s="581" t="inlineStr">
        <is>
          <t>Sum of Employment Income for January to March and April to December should be equal to Total Employment Income</t>
        </is>
      </c>
      <c r="M41" s="581" t="inlineStr">
        <is>
          <t>Section F : Details of Employment Income(Self)</t>
        </is>
      </c>
    </row>
    <row r="42" ht="48" customHeight="1" s="486">
      <c r="A42" s="156" t="inlineStr">
        <is>
          <t>F_Employment_Income</t>
        </is>
      </c>
      <c r="B42" s="581" t="inlineStr">
        <is>
          <t>Jan to Dec Employment Income(Wife)</t>
        </is>
      </c>
      <c r="E42" s="156" t="inlineStr">
        <is>
          <t>Y</t>
        </is>
      </c>
      <c r="F42" s="581" t="inlineStr">
        <is>
          <t>isMandatory(EmpIncome.ListWTOJanDecSum,E42)</t>
        </is>
      </c>
      <c r="G42" s="156" t="inlineStr">
        <is>
          <t>Income for January to March and April to December are mandatory fields.</t>
        </is>
      </c>
      <c r="H42" s="581" t="inlineStr">
        <is>
          <t>validateJanDecIncome2020(EmpIncome.ListWTOJanDecSum,EmpIncome.ListWTO,EmpIncome.ListWTOJANMAR,SecA.RtnYear)</t>
        </is>
      </c>
      <c r="I42" s="581" t="inlineStr">
        <is>
          <t>Sum of Employment Income for January to March and April to December should be equal to Total Employment Income</t>
        </is>
      </c>
      <c r="M42" s="581" t="inlineStr">
        <is>
          <t>Section F : Details of Employment Income(Wife)</t>
        </is>
      </c>
    </row>
    <row r="43" ht="48" customHeight="1" s="486">
      <c r="A43" s="156" t="inlineStr">
        <is>
          <t>F_Employment_Income</t>
        </is>
      </c>
      <c r="B43" s="581" t="inlineStr">
        <is>
          <t>Jan to Dec Pension (Self)</t>
        </is>
      </c>
      <c r="E43" s="156" t="inlineStr">
        <is>
          <t>Y</t>
        </is>
      </c>
      <c r="F43" s="581" t="inlineStr">
        <is>
          <t>isMandatory(EmpIncome.ListSTOJanDecPensionSum,E43)</t>
        </is>
      </c>
      <c r="G43" s="156" t="inlineStr">
        <is>
          <t>Pension for January to March and April to December are mandatory fields.</t>
        </is>
      </c>
      <c r="H43" s="581" t="inlineStr">
        <is>
          <t>validateJanDecIncome2020(EmpIncome.ListSTOJanDecPensionSum,DedDtl.PensionS,EmpIncome.ListSPENSJANMAR,SecA.RtnYear)</t>
        </is>
      </c>
      <c r="I43" s="581" t="inlineStr">
        <is>
          <t>Sum of Pension for January to March and April to December, in sheet F_Employment_Income Cell H7 and H9, should be equal to Pension entered at , T_Tax_Computation(Defined / Pension Contribution)</t>
        </is>
      </c>
      <c r="M43" s="581" t="inlineStr">
        <is>
          <t>Section F : Pension(Self)</t>
        </is>
      </c>
    </row>
    <row r="44" ht="48" customHeight="1" s="486">
      <c r="A44" s="156" t="inlineStr">
        <is>
          <t>F_Employment_Income</t>
        </is>
      </c>
      <c r="B44" s="581" t="inlineStr">
        <is>
          <t>Jan to Dec Pension (Wife)</t>
        </is>
      </c>
      <c r="E44" s="156" t="inlineStr">
        <is>
          <t>Y</t>
        </is>
      </c>
      <c r="F44" s="581" t="inlineStr">
        <is>
          <t>isMandatory(EmpIncome.ListWTOJanDecPensionSum,E44)</t>
        </is>
      </c>
      <c r="G44" s="156" t="inlineStr">
        <is>
          <t>Pension for January to March and April to December are mandatory fields.</t>
        </is>
      </c>
      <c r="H44" s="581" t="inlineStr">
        <is>
          <t>validateJanDecIncome2020(EmpIncome.ListWTOJanDecPensionSum,DedDtl.PensionW,EmpIncome.ListWPENAPRDEC,SecA.RtnYear)</t>
        </is>
      </c>
      <c r="I44" s="581" t="inlineStr">
        <is>
          <t>Sum of Pension for January to March and April to December should be equal to Pension entered at , T_Tax_Computation(Defined / Pension Contribution)</t>
        </is>
      </c>
      <c r="M44" s="581" t="inlineStr">
        <is>
          <t>Section F : Pension(Wife)</t>
        </is>
      </c>
    </row>
    <row r="45" ht="48" customHeight="1" s="486">
      <c r="A45" s="156" t="inlineStr">
        <is>
          <t>J_Computation_of_Mortgage</t>
        </is>
      </c>
      <c r="B45" s="581" t="inlineStr">
        <is>
          <t>Jan to Dec Mortgage Interest (Self)</t>
        </is>
      </c>
      <c r="E45" s="156" t="inlineStr">
        <is>
          <t>Y</t>
        </is>
      </c>
      <c r="F45" s="581" t="inlineStr">
        <is>
          <t>isMandatory(MortgageIntDtls.ListSTOJanDecSum,E45)</t>
        </is>
      </c>
      <c r="G45" s="156" t="inlineStr">
        <is>
          <t>Mortgage Interest for January to March and April to December is a mandatory field.</t>
        </is>
      </c>
      <c r="H45" s="581" t="inlineStr">
        <is>
          <t>validateJanDecIncome2020(MortgageIntDtls.ListSTOJanDecSum,MortgageIntDtls.ListSTO,MortgageIntDtls.ListSTOJANMAR,SecA.RtnYear)</t>
        </is>
      </c>
      <c r="I45" s="581" t="inlineStr">
        <is>
          <t>Sum of Mortgage Interest for January to March and April to December should be equal to Total Mortgage Interest.</t>
        </is>
      </c>
      <c r="M45" s="581" t="inlineStr">
        <is>
          <t>Section J : Computation of Mortgage Interest (Self)</t>
        </is>
      </c>
    </row>
    <row r="46" ht="48" customHeight="1" s="486">
      <c r="A46" s="156" t="inlineStr">
        <is>
          <t>J_Computation_of_Mortgage</t>
        </is>
      </c>
      <c r="B46" s="581" t="inlineStr">
        <is>
          <t>Jan to Dec Mortgage Interest (Wife)</t>
        </is>
      </c>
      <c r="E46" s="156" t="inlineStr">
        <is>
          <t>Y</t>
        </is>
      </c>
      <c r="F46" s="581" t="inlineStr">
        <is>
          <t>isMandatory(MortgageIntDtls.ListWTOJanDecSum,E46)</t>
        </is>
      </c>
      <c r="G46" s="156" t="inlineStr">
        <is>
          <t>Mortgage Interest for January to March and April to December is a mandatory field.</t>
        </is>
      </c>
      <c r="H46" s="581" t="inlineStr">
        <is>
          <t>validateJanDecIncome2020(MortgageIntDtls.ListWTOJanDecSum,MortgageIntDtls.ListWTO,MortgageIntDtls.ListWTOJANMAR,SecA.RtnYear)</t>
        </is>
      </c>
      <c r="I46" s="581" t="inlineStr">
        <is>
          <t>Sum of Mortgage Interest for January to March and April to December should be equal to Total Mortgage Interest.</t>
        </is>
      </c>
      <c r="M46" s="581" t="inlineStr">
        <is>
          <t>Section J : Computation of Mortgage Interest (Wife)</t>
        </is>
      </c>
    </row>
    <row r="47" ht="64" customHeight="1" s="486">
      <c r="A47" s="156" t="inlineStr">
        <is>
          <t>K_Home_Ownership_Saving_Plan</t>
        </is>
      </c>
      <c r="B47" s="581" t="inlineStr">
        <is>
          <t>Jan to Dec Home Ownership Saving Plan (Self)</t>
        </is>
      </c>
      <c r="E47" s="156" t="inlineStr">
        <is>
          <t>Y</t>
        </is>
      </c>
      <c r="F47" s="581" t="inlineStr">
        <is>
          <t>isMandatory(EmpIncome.ListSTOJanDecPensionSum,E47)</t>
        </is>
      </c>
      <c r="G47" s="156" t="inlineStr">
        <is>
          <t>Home Ownership Saving Plan Contribution for January to March and April to December is a mandatory field.</t>
        </is>
      </c>
      <c r="H47" s="581" t="inlineStr">
        <is>
          <t>validateJanDecIncome2020(HomeOwnershipSavingPlan.ListSTOJanDecSum,HomeOwnershipSavingPlan.ListSTO,HomeOwnershipSavingPlan.ListSTOJANMAR,SecA.RtnYear)</t>
        </is>
      </c>
      <c r="I47" s="581" t="inlineStr">
        <is>
          <t>Sum of Home Ownership Saving Plan Contribution for January to March and April to December should be equal to Total Home Ownership Saving Plan Contribution.</t>
        </is>
      </c>
      <c r="M47" s="581" t="inlineStr">
        <is>
          <t>Section K: Computation of  Deduction for Home Ownership Saving Plan (Self)</t>
        </is>
      </c>
    </row>
    <row r="48" ht="64" customHeight="1" s="486">
      <c r="A48" s="156" t="inlineStr">
        <is>
          <t>K_Home_Ownership_Saving_Plan</t>
        </is>
      </c>
      <c r="B48" s="581" t="inlineStr">
        <is>
          <t>Jan to Dec Home Ownership Saving Plan (Wife)</t>
        </is>
      </c>
      <c r="E48" s="156" t="inlineStr">
        <is>
          <t>Y</t>
        </is>
      </c>
      <c r="F48" s="581" t="inlineStr">
        <is>
          <t>isMandatory(HomeOwnershipSavingPlan.ListWTOJanDecSum,E48)</t>
        </is>
      </c>
      <c r="G48" s="156" t="inlineStr">
        <is>
          <t>Home Ownership Saving Plan Contribution for January to March and April to December is a mandatory field.</t>
        </is>
      </c>
      <c r="H48" s="581" t="inlineStr">
        <is>
          <t>validateJanDecIncome2020(HomeOwnershipSavingPlan.ListWTOJanDecSum,HomeOwnershipSavingPlan.ListWTO,HomeOwnershipSavingPlan.ListWTOJANMAR,SecA.RtnYear)</t>
        </is>
      </c>
      <c r="I48" s="581" t="inlineStr">
        <is>
          <t>Sum of Home Ownership Saving Plan Contribution for January to March and April to December should be equal to Total Home Ownership Saving Plan Contribution.</t>
        </is>
      </c>
      <c r="M48" s="581" t="inlineStr">
        <is>
          <t>Section K: Computation of  Deduction for Home Ownership Saving Plan (Wife)</t>
        </is>
      </c>
    </row>
    <row r="49" ht="64" customHeight="1" s="486">
      <c r="A49" s="248" t="inlineStr">
        <is>
          <t>Q_IT_Payment_Credits</t>
        </is>
      </c>
      <c r="B49" s="581" t="inlineStr">
        <is>
          <t>Section Q : Details of Income Tax Paid (Self)</t>
        </is>
      </c>
      <c r="E49" s="248" t="inlineStr">
        <is>
          <t>N</t>
        </is>
      </c>
      <c r="F49" s="581" t="inlineStr">
        <is>
          <t>isMandatory(DtlIncomePaid.IncomePaidAdvanceListSTO,E41)</t>
        </is>
      </c>
      <c r="G49" s="248">
        <f>CONCATENATE(B49,ErrMsg.Mandatory)</f>
        <v/>
      </c>
      <c r="H49" s="581" t="inlineStr">
        <is>
          <t>validateAdvTax1(DtlIncomePaid.IncomePaidAdvncSelfAssmntListSTO,DtlIncomePaid.IncomePaidAdvanceListSTO,DtlIncomePaid.IncomePaidSelfAssmntListSTO)</t>
        </is>
      </c>
      <c r="I49" s="581" t="inlineStr">
        <is>
          <t>You do not have any net tax payable in T_Tax_Computation (12-13.1-3.2-13.3-13.4-13.5-13.7) for the period. You cannot declare self assessment tax / advance payment details.</t>
        </is>
      </c>
      <c r="M49" s="581" t="inlineStr">
        <is>
          <t>Section Q : Details of Income Tax Paid (Self)</t>
        </is>
      </c>
    </row>
    <row r="50" ht="80" customHeight="1" s="486">
      <c r="A50" s="156" t="inlineStr">
        <is>
          <t>Q_IT_Payment_Credits</t>
        </is>
      </c>
      <c r="B50" s="581" t="inlineStr">
        <is>
          <t>Section Q : Details of Income Tax Paid (Self)</t>
        </is>
      </c>
      <c r="E50" s="156" t="inlineStr">
        <is>
          <t>N</t>
        </is>
      </c>
      <c r="F50" s="581" t="inlineStr">
        <is>
          <t>isMandatory(DtlIncomePaid.IncomePaidAdvanceListSTO,E42)</t>
        </is>
      </c>
      <c r="G50" s="248">
        <f>CONCATENATE(B50,ErrMsg.Mandatory)</f>
        <v/>
      </c>
      <c r="H50" s="581" t="inlineStr">
        <is>
          <t>validateAdvTax2(DtlIncomePaid.IncomePaidAdvncSelfAssmntListSTO,DtlIncomePaid.IncomePaidAdvanceListSTO,DtlIncomePaid.IncomePaidSelfAssmntListSTO)</t>
        </is>
      </c>
      <c r="I50" s="581" t="inlineStr">
        <is>
          <t>You have declared the self assessment tax as well as advance payment details. The total amount declared is more than  the net tax payable in T_Tax_Computation (12-13.1-3.2-13.3-13.4-13.5-13.7). Please restrict the amount to net tax payable first adjusting through self assessment tax and then through advance payment.</t>
        </is>
      </c>
      <c r="M50" s="581" t="inlineStr">
        <is>
          <t>Section Q : Details of Income Tax Paid (Self)</t>
        </is>
      </c>
    </row>
    <row r="51" ht="64" customHeight="1" s="486">
      <c r="A51" s="156" t="inlineStr">
        <is>
          <t>Q_IT_Payment_Credits</t>
        </is>
      </c>
      <c r="B51" s="581" t="inlineStr">
        <is>
          <t>Section Q2 : Self Assessment Tax (Self)</t>
        </is>
      </c>
      <c r="E51" s="156" t="inlineStr">
        <is>
          <t>N</t>
        </is>
      </c>
      <c r="F51" s="581" t="inlineStr">
        <is>
          <t>isMandatory(DtlIncomePaid.IncomePaidSelfAssmntListSTO,E43)</t>
        </is>
      </c>
      <c r="G51" s="248">
        <f>CONCATENATE(B51,ErrMsg.Mandatory)</f>
        <v/>
      </c>
      <c r="H51" s="581" t="inlineStr">
        <is>
          <t>validateAdvTax3(DtlIncomePaid.IncomePaidAdvncSelfAssmntListSTO,DtlIncomePaid.IncomePaidAdvanceListSTO,DtlIncomePaid.IncomePaidSelfAssmntListSTO)</t>
        </is>
      </c>
      <c r="I51" s="581" t="inlineStr">
        <is>
          <t>You have declared the self assessment tax payment details. The total amount declared in self assessment tax paid is more than the net tax payable in T_Tax_Computation (12-13.1-3.2-13.3-13.4-13.5-13.7). Please restrict the amount to net tax payable.</t>
        </is>
      </c>
      <c r="M51" s="581" t="inlineStr">
        <is>
          <t>Section Q2 : Self Assessment Tax (Self)</t>
        </is>
      </c>
    </row>
    <row r="52" ht="64" customHeight="1" s="486">
      <c r="A52" s="156" t="inlineStr">
        <is>
          <t>Q_IT_Payment_Credits</t>
        </is>
      </c>
      <c r="B52" s="581" t="inlineStr">
        <is>
          <t>Section Q1 : Advance Payment (Self)</t>
        </is>
      </c>
      <c r="E52" s="156" t="inlineStr">
        <is>
          <t>N</t>
        </is>
      </c>
      <c r="F52" s="581" t="inlineStr">
        <is>
          <t>isMandatory(DtlIncomePaid.IncomePaidAdvncSelfAssmntListSTO,E44)</t>
        </is>
      </c>
      <c r="G52" s="248">
        <f>CONCATENATE(B52,ErrMsg.Mandatory)</f>
        <v/>
      </c>
      <c r="H52" s="581" t="inlineStr">
        <is>
          <t>validateAdvTax4(DtlIncomePaid.IncomePaidAdvncSelfAssmntListSTO,DtlIncomePaid.IncomePaidAdvanceListSTO,DtlIncomePaid.IncomePaidSelfAssmntListSTO)</t>
        </is>
      </c>
      <c r="I52" s="581" t="inlineStr">
        <is>
          <t>You have declared the advance payment details. The total amount declared in advance payment paid is more than the net tax payable in T_Tax_Computation (12-13.1-3.2-13.3-13.4-13.5-13.7). Please restrict the amount to net tax payable.</t>
        </is>
      </c>
      <c r="M52" s="581" t="inlineStr">
        <is>
          <t>Section Q1 : Advance Payment (Self)</t>
        </is>
      </c>
    </row>
    <row r="53" ht="80" customHeight="1" s="486">
      <c r="A53" s="156" t="inlineStr">
        <is>
          <t>Q_IT_Payment_Credits</t>
        </is>
      </c>
      <c r="B53" s="581" t="inlineStr">
        <is>
          <t>Section Q : Details of Income Tax Paid (Wife)</t>
        </is>
      </c>
      <c r="E53" s="156" t="inlineStr">
        <is>
          <t>N</t>
        </is>
      </c>
      <c r="F53" s="581" t="inlineStr">
        <is>
          <t>isMandatory(DtlIncomePaid.IncomePaidAdvanceListWTO,E45)</t>
        </is>
      </c>
      <c r="G53" s="248">
        <f>CONCATENATE(B53,ErrMsg.Mandatory)</f>
        <v/>
      </c>
      <c r="H53" s="581" t="inlineStr">
        <is>
          <t>IF(RetInf.DeclareWifeIncome="Yes",validateAdvTax1W(DtlIncomePaid.IncomePaidAdvncSelfAssmntListWTO,DtlIncomePaid.IncomePaidAdvanceListWTO,DtlIncomePaid.IncomePaidSelfAssmntListWTO),"NE")</t>
        </is>
      </c>
      <c r="I53" s="581" t="inlineStr">
        <is>
          <t>You do not have any net tax payable in T_Tax_Computation (12-13.1-3.2-13.3-13.4-13.5-13.7) for the period. You cannot declare self assessment tax / advance payment details.</t>
        </is>
      </c>
      <c r="M53" s="581" t="inlineStr">
        <is>
          <t>Section Q : Details of Income Tax Paid (Wife)</t>
        </is>
      </c>
    </row>
    <row r="54" ht="80" customHeight="1" s="486">
      <c r="A54" s="156" t="inlineStr">
        <is>
          <t>Q_IT_Payment_Credits</t>
        </is>
      </c>
      <c r="B54" s="581" t="inlineStr">
        <is>
          <t>Section Q : Details of Income Tax Paid (Wife)</t>
        </is>
      </c>
      <c r="E54" s="156" t="inlineStr">
        <is>
          <t>N</t>
        </is>
      </c>
      <c r="F54" s="581" t="inlineStr">
        <is>
          <t>isMandatory(DtlIncomePaid.IncomePaidAdvanceListWTO,E46)</t>
        </is>
      </c>
      <c r="G54" s="248">
        <f>CONCATENATE(B54,ErrMsg.Mandatory)</f>
        <v/>
      </c>
      <c r="H54" s="581" t="inlineStr">
        <is>
          <t>IF(RetInf.DeclareWifeIncome="Yes",validateAdvTax2W(DtlIncomePaid.IncomePaidAdvncSelfAssmntListWTO,DtlIncomePaid.IncomePaidAdvanceListWTO,DtlIncomePaid.IncomePaidSelfAssmntListWTO),"NE")</t>
        </is>
      </c>
      <c r="I54" s="581" t="inlineStr">
        <is>
          <t>You have declared the self assessment tax as well as advance payment details. The total amount declared is more than  the net tax payable in T_Tax_Computation (12-13.1-3.2-13.3-13.4-13.5-13.7). Please restrict the amount to net tax payable first adjusting through self assessment tax and then through advance payment.</t>
        </is>
      </c>
      <c r="M54" s="581" t="inlineStr">
        <is>
          <t>Section Q : Details of Income Tax Paid (Wife)</t>
        </is>
      </c>
    </row>
    <row r="55" ht="80" customHeight="1" s="486">
      <c r="A55" s="156" t="inlineStr">
        <is>
          <t>Q_IT_Payment_Credits</t>
        </is>
      </c>
      <c r="B55" s="581" t="inlineStr">
        <is>
          <t>Section Q2 : Self Assessment Tax (Wife)</t>
        </is>
      </c>
      <c r="E55" s="156" t="inlineStr">
        <is>
          <t>N</t>
        </is>
      </c>
      <c r="F55" s="581" t="inlineStr">
        <is>
          <t>isMandatory(DtlIncomePaid.IncomePaidSelfAssmntListWTO,E47)</t>
        </is>
      </c>
      <c r="G55" s="248">
        <f>CONCATENATE(B55,ErrMsg.Mandatory)</f>
        <v/>
      </c>
      <c r="H55" s="581" t="inlineStr">
        <is>
          <t>IF(RetInf.DeclareWifeIncome="Yes",validateAdvTax3W(DtlIncomePaid.IncomePaidAdvncSelfAssmntListWTO,DtlIncomePaid.IncomePaidAdvanceListWTO,DtlIncomePaid.IncomePaidSelfAssmntListWTO),"NE")</t>
        </is>
      </c>
      <c r="I55" s="581" t="inlineStr">
        <is>
          <t>You have declared the self assessment tax payment details. The total amount declared in self assessment tax paid is more than the net tax payable in T_Tax_Computation (12-13.1-3.2-13.3-13.4-13.5-13.7). Please restrict the amount to net tax payable.</t>
        </is>
      </c>
      <c r="M55" s="581" t="inlineStr">
        <is>
          <t>Section Q2 : Self Assessment Tax (Wife)</t>
        </is>
      </c>
    </row>
    <row r="56" ht="80" customHeight="1" s="486">
      <c r="A56" s="156" t="inlineStr">
        <is>
          <t>Q_IT_Payment_Credits</t>
        </is>
      </c>
      <c r="B56" s="581" t="inlineStr">
        <is>
          <t>Section Q1 : Advance Payment (Wife)</t>
        </is>
      </c>
      <c r="E56" s="156" t="inlineStr">
        <is>
          <t>N</t>
        </is>
      </c>
      <c r="F56" s="581" t="inlineStr">
        <is>
          <t>isMandatory(DtlIncomePaid.IncomePaidAdvncSelfAssmntListWTO,E48)</t>
        </is>
      </c>
      <c r="G56" s="248">
        <f>CONCATENATE(B56,ErrMsg.Mandatory)</f>
        <v/>
      </c>
      <c r="H56" s="581" t="inlineStr">
        <is>
          <t>IF(RetInf.DeclareWifeIncome="Yes",validateAdvTax4W(DtlIncomePaid.IncomePaidAdvncSelfAssmntListWTO,DtlIncomePaid.IncomePaidAdvanceListWTO,DtlIncomePaid.IncomePaidSelfAssmntListWTO),"NE")</t>
        </is>
      </c>
      <c r="I56" s="581" t="inlineStr">
        <is>
          <t>You have declared the advance payment details. The total amount declared in advance payment paid is more than the net tax payable in T_Tax_Computation (12-13.1-3.2-13.3-13.4-13.5-13.7). Please restrict the amount to net tax payable.</t>
        </is>
      </c>
      <c r="M56" s="581" t="inlineStr">
        <is>
          <t>Section Q1 : Advance Payment (Wife</t>
        </is>
      </c>
    </row>
    <row r="57" ht="48" customHeight="1" s="486">
      <c r="A57" s="581" t="inlineStr">
        <is>
          <t>T_Income_Computation_Self</t>
        </is>
      </c>
      <c r="B57" s="581" t="inlineStr">
        <is>
          <t>Less : Loss B/F from previous year offset against current year of income (Line 6 of S_Previous_Years_Losses )</t>
        </is>
      </c>
      <c r="E57" s="581" t="inlineStr">
        <is>
          <t>N</t>
        </is>
      </c>
      <c r="F57" s="581" t="inlineStr">
        <is>
          <t>isMandatory(TC.TotalLossCurrntYrIncomeConsdtS,E49)</t>
        </is>
      </c>
      <c r="G57" s="248">
        <f>CONCATENATE(B57," is mandatory field.")</f>
        <v/>
      </c>
      <c r="I57" s="156" t="n"/>
      <c r="M57" s="581" t="inlineStr">
        <is>
          <t>Section T : Tax Computation (Self)</t>
        </is>
      </c>
    </row>
    <row r="58" ht="48" customHeight="1" s="486">
      <c r="A58" s="581" t="inlineStr">
        <is>
          <t>T_Income_Computation_Wife</t>
        </is>
      </c>
      <c r="B58" s="581" t="inlineStr">
        <is>
          <t>Less : Loss B/F from previous year offset against current year of income (Line 6 of S_Previous_Years_Losses )</t>
        </is>
      </c>
      <c r="E58" s="581" t="inlineStr">
        <is>
          <t>N</t>
        </is>
      </c>
      <c r="F58" s="581" t="inlineStr">
        <is>
          <t>isMandatory(TC.TotalLossCurrntYrIncomeConsdtW,E50)</t>
        </is>
      </c>
      <c r="G58" s="248">
        <f>CONCATENATE(B58," is mandatory field.")</f>
        <v/>
      </c>
      <c r="I58" s="104" t="n"/>
      <c r="M58" s="581" t="inlineStr">
        <is>
          <t>Section T : Tax Computation (Self)</t>
        </is>
      </c>
    </row>
    <row r="59" ht="48" customHeight="1" s="486">
      <c r="A59" s="581" t="inlineStr">
        <is>
          <t>T_Income_Computation_Self</t>
        </is>
      </c>
      <c r="B59" s="581" t="inlineStr">
        <is>
          <t>Less : Loss B/F from previous year offset against current year of income (Line 6 of S_Previous_Years_Losses )</t>
        </is>
      </c>
      <c r="E59" s="581" t="inlineStr">
        <is>
          <t>N</t>
        </is>
      </c>
      <c r="F59" s="581" t="inlineStr">
        <is>
          <t>isMandatory(TaxComp.BUSSLossCurrentYrIncomeS,E51)</t>
        </is>
      </c>
      <c r="G59" s="581">
        <f>CONCATENATE(B59," is mandatory field.")</f>
        <v/>
      </c>
      <c r="H59" s="581" t="inlineStr">
        <is>
          <t>IF(TaxComp.BUSSLossCurrentYrIncomeS&gt;0,compareAmntValues(TC.BussTaxableIncomeS,TaxComp.BUSSLossCurrentYrIncomeS),"NE")</t>
        </is>
      </c>
      <c r="I59" s="581" t="inlineStr">
        <is>
          <t>The losses adjusted cannot be greater than the taxable income of current year for Business</t>
        </is>
      </c>
      <c r="M59" s="581" t="inlineStr">
        <is>
          <t>Section T : Tax Computation (Self)</t>
        </is>
      </c>
    </row>
    <row r="60" ht="48" customHeight="1" s="486">
      <c r="A60" s="581" t="inlineStr">
        <is>
          <t>T_Income_Computation_Self</t>
        </is>
      </c>
      <c r="B60" s="581" t="inlineStr">
        <is>
          <t>Less : Loss B/F from previous year offset against current year of income (Line 6 of S_Previous_Years_Losses )</t>
        </is>
      </c>
      <c r="E60" s="581" t="inlineStr">
        <is>
          <t>N</t>
        </is>
      </c>
      <c r="F60" s="581" t="inlineStr">
        <is>
          <t>isMandatory(TaxComp.FARMLossCurrentYrIncomeS,E52)</t>
        </is>
      </c>
      <c r="G60" s="581">
        <f>CONCATENATE(B60," is mandatory field.")</f>
        <v/>
      </c>
      <c r="H60" s="581" t="inlineStr">
        <is>
          <t>IF(TaxComp.FARMLossCurrentYrIncomeS&gt;0,compareAmntValues(TC.FarmTaxableIncomeS,TaxComp.FARMLossCurrentYrIncomeS),"NE")</t>
        </is>
      </c>
      <c r="I60" s="581" t="inlineStr">
        <is>
          <t>The losses adjusted cannot be greater than the taxable income of current year for Farming</t>
        </is>
      </c>
      <c r="M60" s="581" t="inlineStr">
        <is>
          <t>Section T : Tax Computation (Self)</t>
        </is>
      </c>
    </row>
    <row r="61" ht="48" customHeight="1" s="486">
      <c r="A61" s="581" t="inlineStr">
        <is>
          <t>T_Income_Computation_Self</t>
        </is>
      </c>
      <c r="B61" s="581" t="inlineStr">
        <is>
          <t>Less : Loss B/F from previous year offset against current year of income (Line 6 of S_Previous_Years_Losses )</t>
        </is>
      </c>
      <c r="E61" s="581" t="inlineStr">
        <is>
          <t>N</t>
        </is>
      </c>
      <c r="F61" s="581" t="inlineStr">
        <is>
          <t>isMandatory(TaxComp.RENTLossCurrentYrIncomeS,E53)</t>
        </is>
      </c>
      <c r="G61" s="581">
        <f>CONCATENATE(B61," is mandatory field.")</f>
        <v/>
      </c>
      <c r="H61" s="581" t="inlineStr">
        <is>
          <t>IF(TaxComp.RENTLossCurrentYrIncomeS&gt;0,compareAmntValues(TC.RentTaxableIncomeS,TaxComp.RENTLossCurrentYrIncomeS),"NE")</t>
        </is>
      </c>
      <c r="I61" s="581" t="inlineStr">
        <is>
          <t>The losses adjusted cannot be greater than the taxable income of current year for Rental</t>
        </is>
      </c>
      <c r="M61" s="581" t="inlineStr">
        <is>
          <t>Section T : Tax Computation (Self)</t>
        </is>
      </c>
    </row>
    <row r="62" ht="48" customHeight="1" s="486">
      <c r="A62" s="581" t="inlineStr">
        <is>
          <t>T_Income_Computation_Self</t>
        </is>
      </c>
      <c r="B62" s="581" t="inlineStr">
        <is>
          <t>Less : Loss B/F from previous year offset against current year of income (Line 6 of S_Previous_Years_Losses )</t>
        </is>
      </c>
      <c r="E62" s="581" t="inlineStr">
        <is>
          <t>N</t>
        </is>
      </c>
      <c r="F62" s="581" t="inlineStr">
        <is>
          <t>isMandatory(TaxComp.INTRLossCurrentYrIncomeS,E54)</t>
        </is>
      </c>
      <c r="G62" s="581">
        <f>CONCATENATE(B62," is mandatory field.")</f>
        <v/>
      </c>
      <c r="H62" s="581" t="inlineStr">
        <is>
          <t>IF(TaxComp.INTRLossCurrentYrIncomeS&gt;0,compareAmntValues(TC.IntrTaxableIncomeS,TaxComp.INTRLossCurrentYrIncomeS),"NE")</t>
        </is>
      </c>
      <c r="I62" s="581" t="inlineStr">
        <is>
          <t>The losses adjusted cannot be greater than the taxable income of current year for Interest</t>
        </is>
      </c>
      <c r="M62" s="581" t="inlineStr">
        <is>
          <t>Section T : Tax Computation (Self)</t>
        </is>
      </c>
    </row>
    <row r="63" ht="48" customHeight="1" s="486">
      <c r="A63" s="581" t="inlineStr">
        <is>
          <t>T_Income_Computation_Self</t>
        </is>
      </c>
      <c r="B63" s="581" t="inlineStr">
        <is>
          <t>Less : Loss B/F from previous year offset against current year of income (Line 6 of S_Previous_Years_Losses )</t>
        </is>
      </c>
      <c r="E63" s="581" t="inlineStr">
        <is>
          <t>N</t>
        </is>
      </c>
      <c r="F63" s="581" t="inlineStr">
        <is>
          <t>isMandatory(TaxComp.COMMLossCurrentYrIncomeS,E55)</t>
        </is>
      </c>
      <c r="G63" s="581">
        <f>CONCATENATE(B63," is mandatory field.")</f>
        <v/>
      </c>
      <c r="H63" s="581" t="inlineStr">
        <is>
          <t>IF(TaxComp.COMMLossCurrentYrIncomeS&gt;0,compareAmntValues(TC.CommTaxableIncomeS,TaxComp.COMMLossCurrentYrIncomeS),"NE")</t>
        </is>
      </c>
      <c r="I63" s="581" t="inlineStr">
        <is>
          <t>The losses adjusted cannot be greater than the taxable income of current year for Commission</t>
        </is>
      </c>
      <c r="M63" s="581" t="inlineStr">
        <is>
          <t>Section T : Tax Computation (Self)</t>
        </is>
      </c>
    </row>
    <row r="64" ht="48" customHeight="1" s="486">
      <c r="A64" s="581" t="inlineStr">
        <is>
          <t>T_Income_Computation_Self</t>
        </is>
      </c>
      <c r="B64" s="581" t="inlineStr">
        <is>
          <t>Less : Loss B/F from previous year offset against current year of income (Line 6 of S_Previous_Years_Losses )</t>
        </is>
      </c>
      <c r="E64" s="581" t="inlineStr">
        <is>
          <t>N</t>
        </is>
      </c>
      <c r="F64" s="581" t="inlineStr">
        <is>
          <t>isMandatory(TaxComp.OTHRLossCurrentYrIncomeS,E56)</t>
        </is>
      </c>
      <c r="G64" s="581">
        <f>CONCATENATE(B64," is mandatory field.")</f>
        <v/>
      </c>
      <c r="H64" s="581" t="inlineStr">
        <is>
          <t>IF(TaxComp.OTHRLossCurrentYrIncomeS&gt;0,compareAmntValues(TC.OtherTaxableIncomeS,TaxComp.OTHRLossCurrentYrIncomeS),"NE")</t>
        </is>
      </c>
      <c r="I64" s="581" t="inlineStr">
        <is>
          <t>The losses adjusted cannot be greater than the taxable income of current year for other</t>
        </is>
      </c>
      <c r="M64" s="581" t="inlineStr">
        <is>
          <t>Section T : Tax Computation (Self)</t>
        </is>
      </c>
    </row>
    <row r="65" ht="64" customHeight="1" s="486">
      <c r="A65" s="581" t="inlineStr">
        <is>
          <t>T_Income_Computation_Wife</t>
        </is>
      </c>
      <c r="B65" s="581" t="inlineStr">
        <is>
          <t>Less : Loss B/F from previous year offset against current year of income (Line 6 of S_Previous_Years_Losses )</t>
        </is>
      </c>
      <c r="E65" s="581" t="inlineStr">
        <is>
          <t>N</t>
        </is>
      </c>
      <c r="F65" s="581" t="inlineStr">
        <is>
          <t>isMandatory(TaxComp.BUSSLossCurrentYrIncomeW,E57)</t>
        </is>
      </c>
      <c r="G65" s="581">
        <f>CONCATENATE(B65," is mandatory field.")</f>
        <v/>
      </c>
      <c r="H65" s="581" t="inlineStr">
        <is>
          <t>IF(RetInf.DeclareWifeIncome="Yes",IF(TaxComp.BUSSLossCurrentYrIncomeW&gt;0,compareAmntValues(TC.BussTaxableIncomeW,TaxComp.BUSSLossCurrentYrIncomeW),"NE"),"NE")</t>
        </is>
      </c>
      <c r="I65" s="581" t="inlineStr">
        <is>
          <t>The losses adjusted cannot be greater than the taxable income of current year for Business</t>
        </is>
      </c>
      <c r="M65" s="581" t="inlineStr">
        <is>
          <t>Section T : Tax Computation (Wife)</t>
        </is>
      </c>
    </row>
    <row r="66" ht="64" customHeight="1" s="486">
      <c r="A66" s="581" t="inlineStr">
        <is>
          <t>T_Income_Computation_Wife</t>
        </is>
      </c>
      <c r="B66" s="581" t="inlineStr">
        <is>
          <t>Less : Loss B/F from previous year offset against current year of income (Line 6 of S_Previous_Years_Losses )</t>
        </is>
      </c>
      <c r="E66" s="581" t="inlineStr">
        <is>
          <t>N</t>
        </is>
      </c>
      <c r="F66" s="581" t="inlineStr">
        <is>
          <t>isMandatory(TaxComp.FARMLossCurrentYrIncomeW,E58)</t>
        </is>
      </c>
      <c r="G66" s="581">
        <f>CONCATENATE(B66," is mandatory field.")</f>
        <v/>
      </c>
      <c r="H66" s="581" t="inlineStr">
        <is>
          <t>IF(RetInf.DeclareWifeIncome="Yes",IF(TaxComp.FARMLossCurrentYrIncomeW&gt;0,compareAmntValues(TC.FarmTaxableIncomeW,TaxComp.FARMLossCurrentYrIncomeW),"NE"),"NE")</t>
        </is>
      </c>
      <c r="I66" s="581" t="inlineStr">
        <is>
          <t>The losses adjusted cannot be greater than the taxable income of current year for Farming</t>
        </is>
      </c>
      <c r="M66" s="581" t="inlineStr">
        <is>
          <t>Section T : Tax Computation (Wife)</t>
        </is>
      </c>
    </row>
    <row r="67" ht="64" customHeight="1" s="486">
      <c r="A67" s="581" t="inlineStr">
        <is>
          <t>T_Income_Computation_Wife</t>
        </is>
      </c>
      <c r="B67" s="581" t="inlineStr">
        <is>
          <t>Less : Loss B/F from previous year offset against current year of income (Line 6 of S_Previous_Years_Losses )</t>
        </is>
      </c>
      <c r="E67" s="581" t="inlineStr">
        <is>
          <t>N</t>
        </is>
      </c>
      <c r="F67" s="581" t="inlineStr">
        <is>
          <t>isMandatory(TaxComp.RENTLossCurrentYrIncomeW,E59)</t>
        </is>
      </c>
      <c r="G67" s="581">
        <f>CONCATENATE(B67," is mandatory field.")</f>
        <v/>
      </c>
      <c r="H67" s="581" t="inlineStr">
        <is>
          <t>IF(RetInf.DeclareWifeIncome="Yes",IF(TaxComp.RENTLossCurrentYrIncomeW&gt;0,compareAmntValues(TC.RentTaxableIncomeW,TaxComp.RENTLossCurrentYrIncomeW),"NE"),"NE")</t>
        </is>
      </c>
      <c r="I67" s="581" t="inlineStr">
        <is>
          <t>The losses adjusted cannot be greater than the taxable income of current year for Rental</t>
        </is>
      </c>
      <c r="M67" s="581" t="inlineStr">
        <is>
          <t>Section T : Tax Computation (Wife)</t>
        </is>
      </c>
    </row>
    <row r="68" ht="64" customHeight="1" s="486">
      <c r="A68" s="581" t="inlineStr">
        <is>
          <t>T_Income_Computation_Wife</t>
        </is>
      </c>
      <c r="B68" s="581" t="inlineStr">
        <is>
          <t>Less : Loss B/F from previous year offset against current year of income (Line 6 of S_Previous_Years_Losses )</t>
        </is>
      </c>
      <c r="E68" s="581" t="inlineStr">
        <is>
          <t>N</t>
        </is>
      </c>
      <c r="F68" s="581" t="inlineStr">
        <is>
          <t>isMandatory(TaxComp.INTRLossCurrentYrIncomeW,E60)</t>
        </is>
      </c>
      <c r="G68" s="581">
        <f>CONCATENATE(B68," is mandatory field.")</f>
        <v/>
      </c>
      <c r="H68" s="581" t="inlineStr">
        <is>
          <t>IF(RetInf.DeclareWifeIncome="Yes",IF(TaxComp.INTRLossCurrentYrIncomeW&gt;0,compareAmntValues(TC.IntrTaxableIncomeW,TaxComp.INTRLossCurrentYrIncomeW),"NE"),"NE")</t>
        </is>
      </c>
      <c r="I68" s="581" t="inlineStr">
        <is>
          <t>The losses adjusted cannot be greater than the taxable income of current year for Interest</t>
        </is>
      </c>
      <c r="M68" s="581" t="inlineStr">
        <is>
          <t>Section T : Tax Computation (Wife)</t>
        </is>
      </c>
    </row>
    <row r="69" ht="64" customHeight="1" s="486">
      <c r="A69" s="581" t="inlineStr">
        <is>
          <t>T_Income_Computation_Wife</t>
        </is>
      </c>
      <c r="B69" s="581" t="inlineStr">
        <is>
          <t>Less : Loss B/F from previous year offset against current year of income (Line 6 of S_Previous_Years_Losses )</t>
        </is>
      </c>
      <c r="E69" s="581" t="inlineStr">
        <is>
          <t>N</t>
        </is>
      </c>
      <c r="F69" s="581" t="inlineStr">
        <is>
          <t>isMandatory(TaxComp.COMMLossCurrentYrIncomeW,E61)</t>
        </is>
      </c>
      <c r="G69" s="581">
        <f>CONCATENATE(B69," is mandatory field.")</f>
        <v/>
      </c>
      <c r="H69" s="581" t="inlineStr">
        <is>
          <t>IF(RetInf.DeclareWifeIncome="Yes",IF(TaxComp.COMMLossCurrentYrIncomeW&gt;0,compareAmntValues(TC.CommTaxableIncomeW,TaxComp.COMMLossCurrentYrIncomeW),"NE"),"NE")</t>
        </is>
      </c>
      <c r="I69" s="581" t="inlineStr">
        <is>
          <t>The losses adjusted cannot be greater than the taxable income of current year for Commission</t>
        </is>
      </c>
      <c r="M69" s="581" t="inlineStr">
        <is>
          <t>Section T : Tax Computation (Wife)</t>
        </is>
      </c>
    </row>
    <row r="70" ht="64" customHeight="1" s="486">
      <c r="A70" s="581" t="inlineStr">
        <is>
          <t>T_Income_Computation_Wife</t>
        </is>
      </c>
      <c r="B70" s="581" t="inlineStr">
        <is>
          <t>Less : Loss B/F from previous year offset against current year of income (Line 6 of S_Previous_Years_Losses )</t>
        </is>
      </c>
      <c r="E70" s="581" t="inlineStr">
        <is>
          <t>N</t>
        </is>
      </c>
      <c r="F70" s="581" t="inlineStr">
        <is>
          <t>isMandatory(TaxComp.OTHRLossCurrentYrIncomeW,E62)</t>
        </is>
      </c>
      <c r="G70" s="581">
        <f>CONCATENATE(B70," is mandatory field.")</f>
        <v/>
      </c>
      <c r="H70" s="581" t="inlineStr">
        <is>
          <t>IF(RetInf.DeclareWifeIncome="Yes",IF(TaxComp.OTHRLossCurrentYrIncomeW&gt;0,compareAmntValues(TC.OtherTaxableIncomeW,TaxComp.OTHRLossCurrentYrIncomeW),"NE"),"NE")</t>
        </is>
      </c>
      <c r="I70" s="581" t="inlineStr">
        <is>
          <t>The losses adjusted cannot be greater than the taxable income of current year for other</t>
        </is>
      </c>
      <c r="M70" s="581" t="inlineStr">
        <is>
          <t>Section T : Tax Computation (Wife)</t>
        </is>
      </c>
    </row>
    <row r="71" ht="32" customHeight="1" s="486">
      <c r="A71" s="581" t="inlineStr">
        <is>
          <t xml:space="preserve">S_Previous_Years_Losses </t>
        </is>
      </c>
      <c r="B71" s="581" t="inlineStr">
        <is>
          <t>Losses Adjusted (Self)</t>
        </is>
      </c>
      <c r="E71" s="581" t="inlineStr">
        <is>
          <t>N</t>
        </is>
      </c>
      <c r="F71" s="581" t="inlineStr">
        <is>
          <t>isMandatory(DtlLossFrwd.BussLossAdjustS,E63)</t>
        </is>
      </c>
      <c r="G71" s="581">
        <f>CONCATENATE(B71," is mandatory field.")</f>
        <v/>
      </c>
      <c r="H71" s="581" t="inlineStr">
        <is>
          <t>compareAmntValues(DtlLossFrwd.BussEarlierLossS,DtlLossFrwd.BussLossAdjustS)</t>
        </is>
      </c>
      <c r="I71" s="581" t="inlineStr">
        <is>
          <t>The losses adjusted cannot be greater than the total of earlier year losses for Business</t>
        </is>
      </c>
      <c r="M71" s="581" t="inlineStr">
        <is>
          <t>Section S : Details of Losses Brought Forward and Carried Forward (Self)</t>
        </is>
      </c>
    </row>
    <row r="72" ht="32" customHeight="1" s="486">
      <c r="A72" s="581" t="inlineStr">
        <is>
          <t xml:space="preserve">S_Previous_Years_Losses </t>
        </is>
      </c>
      <c r="B72" s="581" t="inlineStr">
        <is>
          <t>Losses Adjusted (Self)</t>
        </is>
      </c>
      <c r="E72" s="581" t="inlineStr">
        <is>
          <t>N</t>
        </is>
      </c>
      <c r="F72" s="581" t="inlineStr">
        <is>
          <t>isMandatory(DtlLossFrwd.FarmLossAdjustS,E64)</t>
        </is>
      </c>
      <c r="G72" s="581">
        <f>CONCATENATE(B72," is mandatory field.")</f>
        <v/>
      </c>
      <c r="H72" s="581" t="inlineStr">
        <is>
          <t>compareAmntValues(DtlLossFrwd.FarmEarlierLossS,DtlLossFrwd.FarmLossAdjustS)</t>
        </is>
      </c>
      <c r="I72" s="581" t="inlineStr">
        <is>
          <t>The losses adjusted cannot be greater than the total of earlier year losses for Farming</t>
        </is>
      </c>
      <c r="M72" s="581" t="inlineStr">
        <is>
          <t>Section S : Details of Losses Brought Forward and Carried Forward (Self)</t>
        </is>
      </c>
    </row>
    <row r="73" ht="32" customHeight="1" s="486">
      <c r="A73" s="581" t="inlineStr">
        <is>
          <t xml:space="preserve">S_Previous_Years_Losses </t>
        </is>
      </c>
      <c r="B73" s="581" t="inlineStr">
        <is>
          <t>Losses Adjusted (Self)</t>
        </is>
      </c>
      <c r="E73" s="581" t="inlineStr">
        <is>
          <t>N</t>
        </is>
      </c>
      <c r="F73" s="581" t="inlineStr">
        <is>
          <t>isMandatory(DtlLossFrwd.RentLossAdjustS,E65)</t>
        </is>
      </c>
      <c r="G73" s="581">
        <f>CONCATENATE(B73," is mandatory field.")</f>
        <v/>
      </c>
      <c r="H73" s="581" t="inlineStr">
        <is>
          <t>compareAmntValues(DtlLossFrwd.RentEarlierLossS,DtlLossFrwd.RentLossAdjustS)</t>
        </is>
      </c>
      <c r="I73" s="581" t="inlineStr">
        <is>
          <t>The losses adjusted cannot be greater than the total of earlier year losses for Rental</t>
        </is>
      </c>
      <c r="M73" s="581" t="inlineStr">
        <is>
          <t>Section S : Details of Losses Brought Forward and Carried Forward (Self)</t>
        </is>
      </c>
    </row>
    <row r="74" ht="32" customHeight="1" s="486">
      <c r="A74" s="581" t="inlineStr">
        <is>
          <t xml:space="preserve">S_Previous_Years_Losses </t>
        </is>
      </c>
      <c r="B74" s="581" t="inlineStr">
        <is>
          <t>Losses Adjusted (Self)</t>
        </is>
      </c>
      <c r="E74" s="581" t="inlineStr">
        <is>
          <t>N</t>
        </is>
      </c>
      <c r="F74" s="581" t="inlineStr">
        <is>
          <t>isMandatory(DtlLossFrwd.InterestLossAdjustS,E66)</t>
        </is>
      </c>
      <c r="G74" s="581">
        <f>CONCATENATE(B74," is mandatory field.")</f>
        <v/>
      </c>
      <c r="H74" s="581" t="inlineStr">
        <is>
          <t>compareAmntValues(DtlLossFrwd.IntrEarlierLossS,DtlLossFrwd.InterestLossAdjustS)</t>
        </is>
      </c>
      <c r="I74" s="581" t="inlineStr">
        <is>
          <t>The losses adjusted cannot be greater than the total of earlier year losses for Interest</t>
        </is>
      </c>
      <c r="M74" s="581" t="inlineStr">
        <is>
          <t>Section S : Details of Losses Brought Forward and Carried Forward (Self)</t>
        </is>
      </c>
    </row>
    <row r="75" ht="32" customHeight="1" s="486">
      <c r="A75" s="581" t="inlineStr">
        <is>
          <t xml:space="preserve">S_Previous_Years_Losses </t>
        </is>
      </c>
      <c r="B75" s="581" t="inlineStr">
        <is>
          <t>Losses Adjusted (Self)</t>
        </is>
      </c>
      <c r="E75" s="581" t="inlineStr">
        <is>
          <t>N</t>
        </is>
      </c>
      <c r="F75" s="581" t="inlineStr">
        <is>
          <t>isMandatory(DtlLossFrwd.CommLossAdjustS,E67)</t>
        </is>
      </c>
      <c r="G75" s="581">
        <f>CONCATENATE(B75," is mandatory field.")</f>
        <v/>
      </c>
      <c r="H75" s="581" t="inlineStr">
        <is>
          <t>compareAmntValues(DtlLossFrwd.CommEarlierLossS,DtlLossFrwd.CommLossAdjustS)</t>
        </is>
      </c>
      <c r="I75" s="581" t="inlineStr">
        <is>
          <t>The losses adjusted cannot be greater than the total of earlier year losses for Commission</t>
        </is>
      </c>
      <c r="M75" s="581" t="inlineStr">
        <is>
          <t>Section S : Details of Losses Brought Forward and Carried Forward (Self)</t>
        </is>
      </c>
    </row>
    <row r="76" ht="32" customHeight="1" s="486">
      <c r="A76" s="581" t="inlineStr">
        <is>
          <t xml:space="preserve">S_Previous_Years_Losses </t>
        </is>
      </c>
      <c r="B76" s="581" t="inlineStr">
        <is>
          <t>Losses Adjusted (Self)</t>
        </is>
      </c>
      <c r="E76" s="581" t="inlineStr">
        <is>
          <t>N</t>
        </is>
      </c>
      <c r="F76" s="581" t="inlineStr">
        <is>
          <t>isMandatory(DtlLossFrwd.OtherLossAdjustS,E68)</t>
        </is>
      </c>
      <c r="G76" s="581">
        <f>CONCATENATE(B76," is mandatory field.")</f>
        <v/>
      </c>
      <c r="H76" s="581" t="inlineStr">
        <is>
          <t>compareAmntValues(DtlLossFrwd.OthrEarlierLossS,DtlLossFrwd.OtherLossAdjustS)</t>
        </is>
      </c>
      <c r="I76" s="581" t="inlineStr">
        <is>
          <t>The losses adjusted cannot be greater than the total of earlier year losses for Other</t>
        </is>
      </c>
      <c r="M76" s="581" t="inlineStr">
        <is>
          <t>Section S : Details of Losses Brought Forward and Carried Forward (Self)</t>
        </is>
      </c>
    </row>
    <row r="77" ht="48" customHeight="1" s="486">
      <c r="A77" s="581" t="inlineStr">
        <is>
          <t xml:space="preserve">S_Previous_Years_Losses </t>
        </is>
      </c>
      <c r="B77" s="581" t="inlineStr">
        <is>
          <t>Losses Adjusted (Wife)</t>
        </is>
      </c>
      <c r="E77" s="581" t="inlineStr">
        <is>
          <t>N</t>
        </is>
      </c>
      <c r="F77" s="581" t="inlineStr">
        <is>
          <t>isMandatory(DtlLossFrwd.BussLossAdjustW,E69)</t>
        </is>
      </c>
      <c r="G77" s="581">
        <f>CONCATENATE(B77," is mandatory field.")</f>
        <v/>
      </c>
      <c r="H77" s="581" t="inlineStr">
        <is>
          <t>IF(RetInf.DeclareWifeIncome="Yes",compareAmntValues(DtlLossFrwd.BussEarlierLossW,DtlLossFrwd.BussLossAdjustW),"NE")</t>
        </is>
      </c>
      <c r="I77" s="581" t="inlineStr">
        <is>
          <t>The losses adjusted cannot be greater than the total of earlier year losses for Business</t>
        </is>
      </c>
      <c r="M77" s="581" t="inlineStr">
        <is>
          <t>Section S : Details of Losses Brought Forward and Carried Forward (Wife)</t>
        </is>
      </c>
    </row>
    <row r="78" ht="48" customHeight="1" s="486">
      <c r="A78" s="581" t="inlineStr">
        <is>
          <t xml:space="preserve">S_Previous_Years_Losses </t>
        </is>
      </c>
      <c r="B78" s="581" t="inlineStr">
        <is>
          <t>Losses Adjusted (Wife)</t>
        </is>
      </c>
      <c r="E78" s="581" t="inlineStr">
        <is>
          <t>N</t>
        </is>
      </c>
      <c r="F78" s="581" t="inlineStr">
        <is>
          <t>isMandatory(DtlLossFrwd.FarmLossAdjustW,E70)</t>
        </is>
      </c>
      <c r="G78" s="581">
        <f>CONCATENATE(B78," is mandatory field.")</f>
        <v/>
      </c>
      <c r="H78" s="581" t="inlineStr">
        <is>
          <t>IF(RetInf.DeclareWifeIncome="Yes",compareAmntValues(DtlLossFrwd.FarmEarlierLossW,DtlLossFrwd.FarmLossAdjustW),"NE")</t>
        </is>
      </c>
      <c r="I78" s="581" t="inlineStr">
        <is>
          <t>The losses adjusted cannot be greater than the total of earlier year losses for Farming</t>
        </is>
      </c>
      <c r="M78" s="581" t="inlineStr">
        <is>
          <t>Section S : Details of Losses Brought Forward and Carried Forward (Wife)</t>
        </is>
      </c>
    </row>
    <row r="79" ht="48" customHeight="1" s="486">
      <c r="A79" s="581" t="inlineStr">
        <is>
          <t xml:space="preserve">S_Previous_Years_Losses </t>
        </is>
      </c>
      <c r="B79" s="581" t="inlineStr">
        <is>
          <t>Losses Adjusted (Wife)</t>
        </is>
      </c>
      <c r="E79" s="581" t="inlineStr">
        <is>
          <t>N</t>
        </is>
      </c>
      <c r="F79" s="581" t="inlineStr">
        <is>
          <t>isMandatory(DtlLossFrwd.RentLossAdjustW,E71)</t>
        </is>
      </c>
      <c r="G79" s="581">
        <f>CONCATENATE(B79," is mandatory field.")</f>
        <v/>
      </c>
      <c r="H79" s="581" t="inlineStr">
        <is>
          <t>IF(RetInf.DeclareWifeIncome="Yes",compareAmntValues(DtlLossFrwd.RentEarlierLossW,DtlLossFrwd.RentLossAdjustW),"NE")</t>
        </is>
      </c>
      <c r="I79" s="581" t="inlineStr">
        <is>
          <t>The losses adjusted cannot be greater than the total of earlier year losses for Rental</t>
        </is>
      </c>
      <c r="M79" s="581" t="inlineStr">
        <is>
          <t>Section S : Details of Losses Brought Forward and Carried Forward (Wife)</t>
        </is>
      </c>
    </row>
    <row r="80" ht="48" customHeight="1" s="486">
      <c r="A80" s="581" t="inlineStr">
        <is>
          <t xml:space="preserve">S_Previous_Years_Losses </t>
        </is>
      </c>
      <c r="B80" s="581" t="inlineStr">
        <is>
          <t>Losses Adjusted (Wife)</t>
        </is>
      </c>
      <c r="E80" s="581" t="inlineStr">
        <is>
          <t>N</t>
        </is>
      </c>
      <c r="F80" s="581" t="inlineStr">
        <is>
          <t>isMandatory(DtlLossFrwd.InterestLossAdjustW,E72)</t>
        </is>
      </c>
      <c r="G80" s="581">
        <f>CONCATENATE(B80," is mandatory field.")</f>
        <v/>
      </c>
      <c r="H80" s="581" t="inlineStr">
        <is>
          <t>IF(RetInf.DeclareWifeIncome="Yes",compareAmntValues(DtlLossFrwd.IntrEarlierLossW,DtlLossFrwd.InterestLossAdjustW),"NE")</t>
        </is>
      </c>
      <c r="I80" s="581" t="inlineStr">
        <is>
          <t>The losses adjusted cannot be greater than the total of earlier year losses for Interest</t>
        </is>
      </c>
      <c r="M80" s="581" t="inlineStr">
        <is>
          <t>Section S : Details of Losses Brought Forward and Carried Forward (Wife)</t>
        </is>
      </c>
    </row>
    <row r="81" ht="48" customHeight="1" s="486">
      <c r="A81" s="581" t="inlineStr">
        <is>
          <t xml:space="preserve">S_Previous_Years_Losses </t>
        </is>
      </c>
      <c r="B81" s="581" t="inlineStr">
        <is>
          <t>Losses Adjusted (Wife)</t>
        </is>
      </c>
      <c r="E81" s="581" t="inlineStr">
        <is>
          <t>N</t>
        </is>
      </c>
      <c r="F81" s="581" t="inlineStr">
        <is>
          <t>isMandatory(DtlLossFrwd.CommLossAdjustW,E73)</t>
        </is>
      </c>
      <c r="G81" s="581">
        <f>CONCATENATE(B81," is mandatory field.")</f>
        <v/>
      </c>
      <c r="H81" s="581" t="inlineStr">
        <is>
          <t>IF(RetInf.DeclareWifeIncome="Yes",compareAmntValues(DtlLossFrwd.CommEarlierLossW,DtlLossFrwd.CommLossAdjustW),"NE")</t>
        </is>
      </c>
      <c r="I81" s="581" t="inlineStr">
        <is>
          <t>The losses adjusted cannot be greater than the total of earlier year losses for Commission</t>
        </is>
      </c>
      <c r="M81" s="581" t="inlineStr">
        <is>
          <t>Section S : Details of Losses Brought Forward and Carried Forward (Wife)</t>
        </is>
      </c>
    </row>
    <row r="82" ht="48" customHeight="1" s="486">
      <c r="A82" s="581" t="inlineStr">
        <is>
          <t>S_Previous_Years_Losses</t>
        </is>
      </c>
      <c r="B82" s="581" t="inlineStr">
        <is>
          <t>Losses Adjusted (Wife)</t>
        </is>
      </c>
      <c r="E82" s="581" t="inlineStr">
        <is>
          <t>N</t>
        </is>
      </c>
      <c r="F82" s="581" t="inlineStr">
        <is>
          <t>isMandatory(DtlLossFrwd.OtherLossAdjustW,E74)</t>
        </is>
      </c>
      <c r="G82" s="581">
        <f>CONCATENATE(B82," is mandatory field.")</f>
        <v/>
      </c>
      <c r="H82" s="581" t="inlineStr">
        <is>
          <t>IF(RetInf.DeclareWifeIncome="Yes",compareAmntValues(DtlLossFrwd.OtherEarlierLossW,DtlLossFrwd.OtherLossAdjustW),"NE")</t>
        </is>
      </c>
      <c r="I82" s="581" t="inlineStr">
        <is>
          <t>The losses adjusted cannot be greater than the total of earlier year losses for Other</t>
        </is>
      </c>
      <c r="M82" s="581" t="inlineStr">
        <is>
          <t>Section S : Details of Losses Brought Forward and Carried Forward (Wife)</t>
        </is>
      </c>
    </row>
    <row r="83" ht="112" customHeight="1" s="486">
      <c r="A83" s="581" t="inlineStr">
        <is>
          <t>C_Balance_Sheet</t>
        </is>
      </c>
      <c r="B83" s="581" t="inlineStr">
        <is>
          <t>Proprietor's Capital (Self)</t>
        </is>
      </c>
      <c r="E83" s="581" t="inlineStr">
        <is>
          <t>N</t>
        </is>
      </c>
      <c r="F83" s="581" t="inlineStr">
        <is>
          <t>isMandatory(BalSt.ProperietorCptlS,E75)</t>
        </is>
      </c>
      <c r="G83" s="581">
        <f>CONCATENATE(B83," is mandatory field.")</f>
        <v/>
      </c>
      <c r="H83" s="581" t="inlineStr">
        <is>
          <t>IF(RetInf.DeclareSelfBusIncome="Yes",compareValuesZeroCheck(BalSt.TotalAStS,BalSt.ProprietorFundLngTrmLaibtyS,BalSt.ProperietorCptlS),"NE")</t>
        </is>
      </c>
      <c r="I83" s="581">
        <f>CONCATENATE(B83," is mandatory field.")</f>
        <v/>
      </c>
      <c r="J83" s="581" t="inlineStr">
        <is>
          <t>IF(RetInf.DeclareSelfBusIncome="Yes",compareValuesZeroCheckSelf(BalSt.TotalAStS,BalSt.ProprietorFundLngTrmLaibtyS,BalSt.ProperietorCptlS),"NE")</t>
        </is>
      </c>
      <c r="K83" s="581" t="inlineStr">
        <is>
          <t>The amount of Net Assets and  Total Liabilities is zero then Proprietor's Capital is must be greater than zero   in C_Balance_Sheet</t>
        </is>
      </c>
      <c r="M83" s="581" t="inlineStr">
        <is>
          <t>Section C : Balance Sheet</t>
        </is>
      </c>
    </row>
    <row r="84" ht="112" customHeight="1" s="486">
      <c r="A84" s="581" t="inlineStr">
        <is>
          <t>C_Balance_Sheet</t>
        </is>
      </c>
      <c r="B84" s="581" t="inlineStr">
        <is>
          <t>Proprietor's Capital (Wife)</t>
        </is>
      </c>
      <c r="E84" s="581" t="inlineStr">
        <is>
          <t>N</t>
        </is>
      </c>
      <c r="F84" s="581" t="inlineStr">
        <is>
          <t>IF(RetInf.DeclareWifeIncome="Yes",isMandatory(BalSt.ProperietorCptlW,E76),"NE")</t>
        </is>
      </c>
      <c r="G84" s="581">
        <f>CONCATENATE(B84," is mandatory field.")</f>
        <v/>
      </c>
      <c r="H84" s="581" t="inlineStr">
        <is>
          <t>IF(RetInf.DeclareWifeBusIncome="Yes",compareValuesZeroCheck(BalSt.TotalAStW,BalSt.ProprietorFundLngTrmLaibtyW,BalSt.ProperietorCptlW),"NE")</t>
        </is>
      </c>
      <c r="I84" s="581">
        <f>CONCATENATE(B84," is mandatory field.")</f>
        <v/>
      </c>
      <c r="J84" s="581" t="inlineStr">
        <is>
          <t>IF(RetInf.DeclareWifeBusIncome="Yes",compareValuesZeroCheckWife(BalSt.TotalAStW,BalSt.ProprietorFundLngTrmLaibtyW,BalSt.ProperietorCptlW),"NE")</t>
        </is>
      </c>
      <c r="K84" s="581" t="inlineStr">
        <is>
          <t>The amount of Net Assets and  Total Liabilities is zero then Proprietor's Capital Capital is must be greater than zero   in C_Balance_Sheet</t>
        </is>
      </c>
      <c r="M84" s="581" t="inlineStr">
        <is>
          <t>Section C : Balance Sheet</t>
        </is>
      </c>
    </row>
    <row r="85" ht="32" customHeight="1" s="486">
      <c r="A85" s="156" t="inlineStr">
        <is>
          <t>A_Basic_Info</t>
        </is>
      </c>
      <c r="B85" s="581" t="inlineStr">
        <is>
          <t>Have you been issued the Exemption Certificate for disablity?</t>
        </is>
      </c>
      <c r="E85" s="156" t="inlineStr">
        <is>
          <t>Y</t>
        </is>
      </c>
      <c r="F85" s="156" t="inlineStr">
        <is>
          <t>isMandatory(RetInf.DeclareExemptionCerti,E77)</t>
        </is>
      </c>
      <c r="G85" s="156" t="inlineStr">
        <is>
          <t>Have you been issued the Exemption Certificate for disablity? Is mandatory field.</t>
        </is>
      </c>
      <c r="H85" s="156" t="n"/>
      <c r="I85" s="156" t="n"/>
      <c r="J85" s="156" t="n"/>
      <c r="K85" s="156" t="n"/>
      <c r="L85" s="156" t="n"/>
      <c r="M85" s="156" t="inlineStr">
        <is>
          <t>Section A Part 1 : Return Information</t>
        </is>
      </c>
      <c r="N85" s="156" t="n"/>
      <c r="O85" s="156" t="n"/>
      <c r="P85" s="156" t="n"/>
      <c r="Q85" s="156" t="n"/>
    </row>
    <row r="86" ht="32" customHeight="1" s="486">
      <c r="A86" s="581" t="inlineStr">
        <is>
          <t>A_Basic_Info</t>
        </is>
      </c>
      <c r="B86" s="581" t="inlineStr">
        <is>
          <t>Do you have partnership income?</t>
        </is>
      </c>
      <c r="E86" s="581" t="inlineStr">
        <is>
          <t>Y</t>
        </is>
      </c>
      <c r="F86" s="581" t="inlineStr">
        <is>
          <t>isMandatory(dispSec.PartnershipIncome, E78)</t>
        </is>
      </c>
      <c r="G86" s="581" t="inlineStr">
        <is>
          <t>Do you have partnership income? is mandatory field.</t>
        </is>
      </c>
      <c r="M86" s="581" t="inlineStr">
        <is>
          <t>Section A Part 1 : Return Information</t>
        </is>
      </c>
    </row>
    <row r="87" ht="32" customHeight="1" s="486">
      <c r="A87" s="581" t="inlineStr">
        <is>
          <t>A_Basic_Info</t>
        </is>
      </c>
      <c r="B87" s="581" t="inlineStr">
        <is>
          <t>Do you have estate trust income?</t>
        </is>
      </c>
      <c r="E87" s="581" t="inlineStr">
        <is>
          <t>Y</t>
        </is>
      </c>
      <c r="F87" s="581" t="inlineStr">
        <is>
          <t>isMandatory(dispSec.EstateTrustIncome, E78)</t>
        </is>
      </c>
      <c r="G87" s="581" t="inlineStr">
        <is>
          <t>Do you have estate trust income? Is mandatory field.</t>
        </is>
      </c>
      <c r="M87" s="581" t="inlineStr">
        <is>
          <t>Section A Part 1 : Return Information</t>
        </is>
      </c>
    </row>
    <row r="88" ht="32" customHeight="1" s="486">
      <c r="A88" s="581" t="inlineStr">
        <is>
          <t>A_Basic_Info</t>
        </is>
      </c>
      <c r="B88" s="581" t="inlineStr">
        <is>
          <t>Has your employer provided you with a car?</t>
        </is>
      </c>
      <c r="E88" s="581" t="inlineStr">
        <is>
          <t>Y</t>
        </is>
      </c>
      <c r="F88" s="581" t="inlineStr">
        <is>
          <t>isMandatory(dispSec.CarBenefit, E78)</t>
        </is>
      </c>
      <c r="G88" s="581" t="inlineStr">
        <is>
          <t>Has your employer provided you with a car? Is mandatory field.</t>
        </is>
      </c>
      <c r="M88" s="581" t="inlineStr">
        <is>
          <t>Section A Part 1 : Return Information</t>
        </is>
      </c>
    </row>
    <row r="89" ht="32" customHeight="1" s="486">
      <c r="A89" s="581" t="inlineStr">
        <is>
          <t>A_Basic_Info</t>
        </is>
      </c>
      <c r="B89" s="581" t="inlineStr">
        <is>
          <t>Do you have a mortgage?</t>
        </is>
      </c>
      <c r="E89" s="581" t="inlineStr">
        <is>
          <t>Y</t>
        </is>
      </c>
      <c r="F89" s="581" t="inlineStr">
        <is>
          <t>isMandatory(dispSec.Mortgage, E78)</t>
        </is>
      </c>
      <c r="G89" s="581" t="inlineStr">
        <is>
          <t>Do you have a mortgage? Is mandatory field.</t>
        </is>
      </c>
      <c r="M89" s="581" t="inlineStr">
        <is>
          <t>Section A Part 1 : Return Information</t>
        </is>
      </c>
    </row>
    <row r="90" ht="32" customHeight="1" s="486">
      <c r="A90" s="581" t="inlineStr">
        <is>
          <t>A_Basic_Info</t>
        </is>
      </c>
      <c r="B90" s="581" t="inlineStr">
        <is>
          <t>Do you have a Home Ownership Saving Plan?</t>
        </is>
      </c>
      <c r="E90" s="581" t="inlineStr">
        <is>
          <t>Y</t>
        </is>
      </c>
      <c r="F90" s="581" t="inlineStr">
        <is>
          <t>isMandatory(dispSec.OwnershipSaving, E78)</t>
        </is>
      </c>
      <c r="G90" s="581" t="inlineStr">
        <is>
          <t>Do you have a Home Ownership Saving Plan? is mandatory field.</t>
        </is>
      </c>
      <c r="M90" s="581" t="inlineStr">
        <is>
          <t>Section A Part 1 : Return Information</t>
        </is>
      </c>
    </row>
    <row r="91" ht="32" customHeight="1" s="486">
      <c r="A91" s="581" t="inlineStr">
        <is>
          <t>A_Basic_Info</t>
        </is>
      </c>
      <c r="B91" s="581" t="inlineStr">
        <is>
          <t>Do you have a life insurance policy?</t>
        </is>
      </c>
      <c r="E91" s="581" t="inlineStr">
        <is>
          <t>Y</t>
        </is>
      </c>
      <c r="F91" s="581" t="inlineStr">
        <is>
          <t>isMandatory(dispSec.InsuRelief, E78)</t>
        </is>
      </c>
      <c r="G91" s="581" t="inlineStr">
        <is>
          <t>Do you have a life insurance policy? is mandatory field.</t>
        </is>
      </c>
      <c r="M91" s="581" t="inlineStr">
        <is>
          <t>Section A Part 1 : Return Information</t>
        </is>
      </c>
    </row>
    <row r="92" ht="32" customHeight="1" s="486">
      <c r="A92" s="581" t="inlineStr">
        <is>
          <t>A_Basic_Info</t>
        </is>
      </c>
      <c r="B92" s="581" t="inlineStr">
        <is>
          <t>Do you have a commercial vehicle?</t>
        </is>
      </c>
      <c r="E92" s="581" t="inlineStr">
        <is>
          <t>Y</t>
        </is>
      </c>
      <c r="F92" s="581" t="inlineStr">
        <is>
          <t>isMandatory(dispSec.AdvanceTax, E78)</t>
        </is>
      </c>
      <c r="G92" s="581" t="inlineStr">
        <is>
          <t>Do you have a commercial vehicle? is mandatory field.</t>
        </is>
      </c>
      <c r="M92" s="581" t="inlineStr">
        <is>
          <t>Section A Part 1 : Return Information</t>
        </is>
      </c>
    </row>
    <row r="93" ht="32" customHeight="1" s="486">
      <c r="A93" s="581" t="inlineStr">
        <is>
          <t>A_Basic_Info</t>
        </is>
      </c>
      <c r="B93" s="581" t="inlineStr">
        <is>
          <t>Do you earn any income from a foreign country?</t>
        </is>
      </c>
      <c r="E93" s="581" t="inlineStr">
        <is>
          <t>Y</t>
        </is>
      </c>
      <c r="F93" s="581" t="inlineStr">
        <is>
          <t>isMandatory(dispSec.DTAA, E78)</t>
        </is>
      </c>
      <c r="G93" s="581" t="inlineStr">
        <is>
          <t>Do you earn any income from a foreign country? is mandatory field.</t>
        </is>
      </c>
      <c r="M93" s="581" t="inlineStr">
        <is>
          <t>Section A Part 1 : Return Information</t>
        </is>
      </c>
    </row>
    <row r="94" ht="32" customHeight="1" s="486">
      <c r="A94" s="581" t="inlineStr">
        <is>
          <t>T_Tax_Computation</t>
        </is>
      </c>
      <c r="B94" s="581" t="inlineStr">
        <is>
          <t>Withholding Tax (Total of "Withholding Tax Amount" from O_WHT_Credits)</t>
        </is>
      </c>
      <c r="D94" s="581" t="n">
        <v>15</v>
      </c>
      <c r="E94" s="581" t="inlineStr">
        <is>
          <t>Y</t>
        </is>
      </c>
      <c r="F94" s="581" t="inlineStr">
        <is>
          <t>isMandatory(TaxComp.WithHoldingListSTO,E86)</t>
        </is>
      </c>
      <c r="G94" s="581">
        <f>CONCATENATE(B94,ErrMsg.Mandatory)</f>
        <v/>
      </c>
      <c r="H94" s="581" t="inlineStr">
        <is>
          <t>validateNumeric(TaxComp.WithHoldingListSTO)</t>
        </is>
      </c>
      <c r="I94" s="581" t="inlineStr">
        <is>
          <t xml:space="preserve">Please Enter Numeric value. </t>
        </is>
      </c>
      <c r="M94" s="581" t="inlineStr">
        <is>
          <t>Section T : Tax Computation</t>
        </is>
      </c>
    </row>
    <row r="95" ht="48" customHeight="1" s="486">
      <c r="A95" s="581" t="inlineStr">
        <is>
          <t>T_Tax_Computation</t>
        </is>
      </c>
      <c r="B95" s="581" t="inlineStr">
        <is>
          <t>Withholding Tax (Total of "Withholding Tax Amount" from O_WHT_Credits)</t>
        </is>
      </c>
      <c r="D95" s="581" t="n">
        <v>15</v>
      </c>
      <c r="E95" s="581" t="inlineStr">
        <is>
          <t>Y</t>
        </is>
      </c>
      <c r="F95" s="581" t="inlineStr">
        <is>
          <t>IF(RetInf.DeclareWifeIncome="Yes",isMandatory(TaxComp.WithHoldingListWTO,E87),"NE")</t>
        </is>
      </c>
      <c r="G95" s="581">
        <f>CONCATENATE(B95,ErrMsg.Mandatory)</f>
        <v/>
      </c>
      <c r="H95" s="581" t="inlineStr">
        <is>
          <t>validateNumeric(TaxComp.WithHoldingListWTO)</t>
        </is>
      </c>
      <c r="I95" s="581" t="inlineStr">
        <is>
          <t xml:space="preserve">Please Enter Numeric value. </t>
        </is>
      </c>
      <c r="M95" s="581" t="inlineStr">
        <is>
          <t>Section T : Tax Computation</t>
        </is>
      </c>
    </row>
    <row r="96" ht="48" customHeight="1" s="486">
      <c r="A96" s="581" t="inlineStr">
        <is>
          <t>T_Tax_Computation</t>
        </is>
      </c>
      <c r="B96" s="581" t="inlineStr">
        <is>
          <t>Credits u/s 12A - Advance Tax on Commercial Vehicle (Total of "Amount of Advance Tax Paid" from P_Advance_Tax_Credits)</t>
        </is>
      </c>
      <c r="D96" s="581" t="n">
        <v>15</v>
      </c>
      <c r="E96" s="581" t="inlineStr">
        <is>
          <t>Y</t>
        </is>
      </c>
      <c r="F96" s="581" t="inlineStr">
        <is>
          <t>isMandatory(TaxComp.VehicleAdvTaxPaidListSTO,E88)</t>
        </is>
      </c>
      <c r="G96" s="581">
        <f>CONCATENATE(B96,ErrMsg.Mandatory)</f>
        <v/>
      </c>
      <c r="H96" s="581" t="inlineStr">
        <is>
          <t>validateNumeric(TaxComp.VehicleAdvTaxPaidListSTO)</t>
        </is>
      </c>
      <c r="I96" s="581" t="inlineStr">
        <is>
          <t xml:space="preserve">Please Enter Numeric value. </t>
        </is>
      </c>
      <c r="M96" s="581" t="inlineStr">
        <is>
          <t>Section T : Tax Computation</t>
        </is>
      </c>
    </row>
    <row r="97" ht="48" customHeight="1" s="486">
      <c r="A97" s="581" t="inlineStr">
        <is>
          <t>T_Tax_Computation</t>
        </is>
      </c>
      <c r="B97" s="581" t="inlineStr">
        <is>
          <t>Credits u/s 12A - Advance Tax on Commercial Vehicle (Total of "Amount of Advance Tax Paid" from P_Advance_Tax_Credits)</t>
        </is>
      </c>
      <c r="D97" s="581" t="n">
        <v>15</v>
      </c>
      <c r="E97" s="581" t="inlineStr">
        <is>
          <t>Y</t>
        </is>
      </c>
      <c r="F97" s="581" t="inlineStr">
        <is>
          <t>IF(RetInf.DeclareWifeIncome="Yes",isMandatory(TaxComp.VehicleAdvTaxPaidListWTO,E89),"NE")</t>
        </is>
      </c>
      <c r="G97" s="581">
        <f>CONCATENATE(B97,ErrMsg.Mandatory)</f>
        <v/>
      </c>
      <c r="H97" s="581" t="inlineStr">
        <is>
          <t>validateNumeric(TaxComp.VehicleAdvTaxPaidListWTO)</t>
        </is>
      </c>
      <c r="I97" s="581" t="inlineStr">
        <is>
          <t xml:space="preserve">Please Enter Numeric value. </t>
        </is>
      </c>
      <c r="M97" s="581" t="inlineStr">
        <is>
          <t>Section T : Tax Computation</t>
        </is>
      </c>
    </row>
    <row r="98" ht="32" customHeight="1" s="486">
      <c r="A98" s="581" t="inlineStr">
        <is>
          <t>T_Tax_Computation</t>
        </is>
      </c>
      <c r="B98" s="581" t="inlineStr">
        <is>
          <t>Withholding Tax (Total of "Withholding Tax Amount Of Monthly Rental Income")</t>
        </is>
      </c>
      <c r="E98" s="581" t="inlineStr">
        <is>
          <t>Y</t>
        </is>
      </c>
      <c r="F98" s="581" t="inlineStr">
        <is>
          <t>isMandatory(TaxComp.MRI,E90)</t>
        </is>
      </c>
      <c r="G98" s="581">
        <f>CONCATENATE(B98,ErrMsg.Mandatory)</f>
        <v/>
      </c>
      <c r="H98" s="581" t="inlineStr">
        <is>
          <t>validateNumeric(TaxComp.MRI)</t>
        </is>
      </c>
      <c r="I98" s="581" t="inlineStr">
        <is>
          <t xml:space="preserve">Please Enter Numeric value. </t>
        </is>
      </c>
      <c r="M98" s="581" t="inlineStr">
        <is>
          <t>Section T : Tax Computation</t>
        </is>
      </c>
    </row>
    <row r="99" ht="48" customHeight="1" s="486">
      <c r="A99" s="581" t="inlineStr">
        <is>
          <t>T_Tax_Computation</t>
        </is>
      </c>
      <c r="B99" s="581" t="inlineStr">
        <is>
          <t>Withholding Tax (Total of "Withholding Tax Amount Of Monthly Rental Income")</t>
        </is>
      </c>
      <c r="E99" s="581" t="inlineStr">
        <is>
          <t>Y</t>
        </is>
      </c>
      <c r="F99" s="581" t="inlineStr">
        <is>
          <t>IF(RetInf.DeclareWifeIncome="Yes",isMandatory(TaxComp.MRIWTO,E91),"NE")</t>
        </is>
      </c>
      <c r="G99" s="581">
        <f>CONCATENATE(B99,ErrMsg.Mandatory)</f>
        <v/>
      </c>
      <c r="H99" s="581" t="inlineStr">
        <is>
          <t>validateNumeric(TaxComp.MRIWTO)</t>
        </is>
      </c>
      <c r="I99" s="581" t="inlineStr">
        <is>
          <t xml:space="preserve">Please Enter Numeric value. </t>
        </is>
      </c>
      <c r="M99" s="581" t="inlineStr">
        <is>
          <t>Section T : Tax Computation</t>
        </is>
      </c>
    </row>
  </sheetData>
  <sheetProtection selectLockedCells="0" selectUnlockedCells="0" algorithmName="SHA-512" sheet="1" objects="1" insertRows="1" insertHyperlinks="1" autoFilter="1" scenarios="1" formatColumns="1" deleteColumns="1" insertColumns="1" pivotTables="1" deleteRows="1" formatCells="1" saltValue="1cmW/Ap4bmy6kX+h6l2LzA==" formatRows="1" sort="1" spinCount="100000" hashValue="deRv6L66Rh2cT9oB/O6/rLUs5ejcdT/rdDogaipnzZn9OKA5DTpHunN6+OX8TTsoDCALGJq5TU/SD4/Ftuodkg=="/>
  <pageMargins left="0.7875" right="0.7875" top="1.025" bottom="1.025" header="0.7875" footer="0.7875"/>
  <pageSetup orientation="portrait" paperSize="9" firstPageNumber="0" horizontalDpi="300" verticalDpi="300"/>
  <headerFooter alignWithMargins="0">
    <oddHeader>&amp;C&amp;"Arial,Regular"&amp;10 &amp;A</oddHeader>
    <oddFooter>&amp;C&amp;"Arial,Regular"&amp;10 Page &amp;P</oddFooter>
    <evenHeader/>
    <evenFooter/>
    <firstHeader/>
    <firstFooter/>
  </headerFooter>
</worksheet>
</file>

<file path=xl/worksheets/sheet5.xml><?xml version="1.0" encoding="utf-8"?>
<worksheet xmlns="http://schemas.openxmlformats.org/spreadsheetml/2006/main">
  <sheetPr codeName="Sheet39">
    <outlinePr summaryBelow="1" summaryRight="1"/>
    <pageSetUpPr/>
  </sheetPr>
  <dimension ref="A1:R485"/>
  <sheetViews>
    <sheetView topLeftCell="F147" workbookViewId="0">
      <selection activeCell="J151" sqref="J151"/>
    </sheetView>
  </sheetViews>
  <sheetFormatPr baseColWidth="10" defaultColWidth="9.1640625" defaultRowHeight="16"/>
  <cols>
    <col width="34.1640625" customWidth="1" style="149" min="1" max="1"/>
    <col width="34.1640625" customWidth="1" style="151" min="2" max="17"/>
    <col width="37.33203125" customWidth="1" style="151" min="18" max="18"/>
    <col width="9.1640625" customWidth="1" style="152" min="19" max="19"/>
    <col width="9.1640625" customWidth="1" style="152" min="20" max="16384"/>
  </cols>
  <sheetData>
    <row r="1" ht="17" customFormat="1" customHeight="1" s="150">
      <c r="A1" s="149" t="inlineStr">
        <is>
          <t>Category</t>
        </is>
      </c>
      <c r="B1" s="149" t="inlineStr">
        <is>
          <t>Column Name &amp; Validation</t>
        </is>
      </c>
      <c r="C1" s="149" t="inlineStr">
        <is>
          <t>Column Name &amp; Validation</t>
        </is>
      </c>
      <c r="D1" s="149" t="inlineStr">
        <is>
          <t>Column Name &amp; Validation</t>
        </is>
      </c>
      <c r="E1" s="149" t="inlineStr">
        <is>
          <t>Column Name &amp; Validation</t>
        </is>
      </c>
      <c r="F1" s="149" t="inlineStr">
        <is>
          <t>Column Name &amp; Validation</t>
        </is>
      </c>
      <c r="G1" s="149" t="inlineStr">
        <is>
          <t>Column Name &amp; Validation</t>
        </is>
      </c>
      <c r="H1" s="149" t="inlineStr">
        <is>
          <t>Column Name &amp; Validation</t>
        </is>
      </c>
      <c r="I1" s="149" t="inlineStr">
        <is>
          <t>Column Name &amp; Validation</t>
        </is>
      </c>
      <c r="J1" s="149" t="inlineStr">
        <is>
          <t>Column Name &amp; Validation</t>
        </is>
      </c>
      <c r="K1" s="149" t="inlineStr">
        <is>
          <t>Column Name &amp; Validation</t>
        </is>
      </c>
      <c r="L1" s="149" t="inlineStr">
        <is>
          <t>Column Name &amp; Validation</t>
        </is>
      </c>
      <c r="M1" s="149" t="inlineStr">
        <is>
          <t>Column Name &amp; Validation</t>
        </is>
      </c>
      <c r="N1" s="149" t="inlineStr">
        <is>
          <t>Column Name &amp; Validation</t>
        </is>
      </c>
      <c r="O1" s="149" t="inlineStr">
        <is>
          <t>Column Name &amp; Validation</t>
        </is>
      </c>
      <c r="P1" s="149" t="inlineStr">
        <is>
          <t>Column Name &amp; Validation</t>
        </is>
      </c>
      <c r="Q1" s="149" t="inlineStr">
        <is>
          <t>Column Name &amp; Validation</t>
        </is>
      </c>
      <c r="R1" s="149" t="inlineStr">
        <is>
          <t>Column Name &amp; Validation</t>
        </is>
      </c>
    </row>
    <row r="2" ht="34" customFormat="1" customHeight="1" s="150">
      <c r="A2" s="149" t="inlineStr">
        <is>
          <t>A_Basic_Info</t>
        </is>
      </c>
      <c r="B2" s="151" t="inlineStr">
        <is>
          <t>Exemption Certificate Number</t>
        </is>
      </c>
      <c r="C2" s="151" t="inlineStr">
        <is>
          <t>Date From</t>
        </is>
      </c>
      <c r="D2" s="151" t="inlineStr">
        <is>
          <t>Date To</t>
        </is>
      </c>
      <c r="E2" s="151" t="n"/>
      <c r="F2" s="151" t="n"/>
      <c r="G2" s="151" t="n"/>
      <c r="H2" s="151" t="n"/>
      <c r="I2" s="151" t="n"/>
      <c r="J2" s="151" t="n"/>
      <c r="K2" s="151" t="n"/>
      <c r="L2" s="151" t="n"/>
      <c r="M2" s="151" t="n"/>
      <c r="N2" s="151" t="n"/>
      <c r="O2" s="151" t="n"/>
      <c r="P2" s="151" t="n"/>
      <c r="Q2" s="151" t="n"/>
      <c r="R2" s="151" t="inlineStr">
        <is>
          <t>Section A Part 6 : Details of Exemption Certificate for disablity (Self)</t>
        </is>
      </c>
    </row>
    <row r="3" ht="17" customHeight="1" s="486">
      <c r="A3" s="151" t="inlineStr">
        <is>
          <t>Mandatory</t>
        </is>
      </c>
      <c r="B3" s="151" t="inlineStr">
        <is>
          <t>Y</t>
        </is>
      </c>
      <c r="C3" s="151" t="inlineStr">
        <is>
          <t>Y</t>
        </is>
      </c>
      <c r="D3" s="151" t="inlineStr">
        <is>
          <t>Y</t>
        </is>
      </c>
    </row>
    <row r="4" ht="34" customHeight="1" s="486">
      <c r="A4" s="151" t="inlineStr">
        <is>
          <t>Validation Rule1</t>
        </is>
      </c>
      <c r="B4" s="151" t="inlineStr">
        <is>
          <t>isMandatory(ExemptCerti.ListS,B3,"A")</t>
        </is>
      </c>
      <c r="C4" s="151" t="inlineStr">
        <is>
          <t>isMandatory(ExemptCerti.ListS,C3,"B")</t>
        </is>
      </c>
      <c r="D4" s="151" t="inlineStr">
        <is>
          <t>isMandatory(ExemptCerti.ListS,D3,"C")</t>
        </is>
      </c>
    </row>
    <row r="5" ht="34" customHeight="1" s="486">
      <c r="A5" s="151" t="inlineStr">
        <is>
          <t>Error Message</t>
        </is>
      </c>
      <c r="B5" s="151">
        <f>CONCATENATE(B2,ErrMsg.Mandatory)</f>
        <v/>
      </c>
      <c r="C5" s="151">
        <f>CONCATENATE(C2,ErrMsg.Mandatory)</f>
        <v/>
      </c>
      <c r="D5" s="151">
        <f>CONCATENATE(D2,ErrMsg.Mandatory)</f>
        <v/>
      </c>
    </row>
    <row r="6" ht="34" customHeight="1" s="486">
      <c r="A6" s="151" t="inlineStr">
        <is>
          <t>Validation Rule2</t>
        </is>
      </c>
      <c r="B6" s="151" t="inlineStr">
        <is>
          <t>validateAlphaNumeric(ExemptCerti.ListS,"A")</t>
        </is>
      </c>
      <c r="C6" s="151" t="inlineStr">
        <is>
          <t>validateDate(ExemptCerti.ListS,"B")</t>
        </is>
      </c>
      <c r="D6" s="151" t="inlineStr">
        <is>
          <t>validateDate(ExemptCerti.ListS,"C")</t>
        </is>
      </c>
    </row>
    <row r="7" ht="51" customHeight="1" s="486">
      <c r="A7" s="151" t="inlineStr">
        <is>
          <t>Error Message</t>
        </is>
      </c>
      <c r="B7" s="151" t="inlineStr">
        <is>
          <t>Please enter alphanumeric value. Only Special characters like (Space , - . / : \ ' &amp; ( ) { } ! ` | # ; $) are allowed.</t>
        </is>
      </c>
      <c r="C7" s="151" t="inlineStr">
        <is>
          <t>Please enter date in proper format</t>
        </is>
      </c>
      <c r="D7" s="151" t="inlineStr">
        <is>
          <t>Please enter date in proper format</t>
        </is>
      </c>
    </row>
    <row r="8" ht="34" customHeight="1" s="486">
      <c r="A8" s="151" t="inlineStr">
        <is>
          <t>Validation Rule3</t>
        </is>
      </c>
      <c r="C8" s="151" t="inlineStr">
        <is>
          <t>validateDateBtwnRtnPeriod(ExemptCerti.ListS,"B")</t>
        </is>
      </c>
      <c r="D8" s="151" t="inlineStr">
        <is>
          <t>validateDateBtwnRtnPeriod(ExemptCerti.ListS,"C")</t>
        </is>
      </c>
    </row>
    <row r="9" ht="51" customHeight="1" s="486">
      <c r="A9" s="151" t="inlineStr">
        <is>
          <t>Error Message</t>
        </is>
      </c>
      <c r="C9" s="151" t="inlineStr">
        <is>
          <t>Please enter Date between Return Period specified and in dd/mm/yyyy proper format.</t>
        </is>
      </c>
      <c r="D9" s="151" t="inlineStr">
        <is>
          <t>Please enter Date between Return Period specified and in dd/mm/yyyy proper format.</t>
        </is>
      </c>
    </row>
    <row r="11" ht="34" customFormat="1" customHeight="1" s="150">
      <c r="A11" s="149" t="inlineStr">
        <is>
          <t>A_Basic_Info</t>
        </is>
      </c>
      <c r="B11" s="151" t="inlineStr">
        <is>
          <t>Exemption Certificate Number</t>
        </is>
      </c>
      <c r="C11" s="151" t="inlineStr">
        <is>
          <t>Date From</t>
        </is>
      </c>
      <c r="D11" s="151" t="inlineStr">
        <is>
          <t>Date To</t>
        </is>
      </c>
      <c r="E11" s="151" t="n"/>
      <c r="F11" s="151" t="n"/>
      <c r="G11" s="151" t="n"/>
      <c r="H11" s="151" t="n"/>
      <c r="I11" s="151" t="n"/>
      <c r="J11" s="151" t="n"/>
      <c r="K11" s="151" t="n"/>
      <c r="L11" s="151" t="n"/>
      <c r="M11" s="151" t="n"/>
      <c r="N11" s="151" t="n"/>
      <c r="O11" s="151" t="n"/>
      <c r="P11" s="151" t="n"/>
      <c r="Q11" s="151" t="n"/>
      <c r="R11" s="151" t="inlineStr">
        <is>
          <t>Section A Part 6 : Details of Exemption Certificate for disablity (Wife)</t>
        </is>
      </c>
    </row>
    <row r="12" ht="17" customHeight="1" s="486">
      <c r="A12" s="151" t="inlineStr">
        <is>
          <t>Mandatory</t>
        </is>
      </c>
      <c r="B12" s="151" t="inlineStr">
        <is>
          <t>Y</t>
        </is>
      </c>
      <c r="C12" s="151" t="inlineStr">
        <is>
          <t>Y</t>
        </is>
      </c>
      <c r="D12" s="151" t="inlineStr">
        <is>
          <t>Y</t>
        </is>
      </c>
    </row>
    <row r="13" ht="34" customHeight="1" s="486">
      <c r="A13" s="151" t="inlineStr">
        <is>
          <t>Validation Rule1</t>
        </is>
      </c>
      <c r="B13" s="151" t="inlineStr">
        <is>
          <t>isMandatory(ExemptCerti.ListW,B12,"A")</t>
        </is>
      </c>
      <c r="C13" s="151" t="inlineStr">
        <is>
          <t>isMandatory(ExemptCerti.ListW,C12,"B")</t>
        </is>
      </c>
      <c r="D13" s="151" t="inlineStr">
        <is>
          <t>isMandatory(ExemptCerti.ListW,D12,"C")</t>
        </is>
      </c>
    </row>
    <row r="14" ht="34" customHeight="1" s="486">
      <c r="A14" s="151" t="inlineStr">
        <is>
          <t>Error Message</t>
        </is>
      </c>
      <c r="B14" s="151" t="inlineStr">
        <is>
          <t>Exemption Certificate Number is mandatory field.</t>
        </is>
      </c>
      <c r="C14" s="151" t="inlineStr">
        <is>
          <t>Date From is mandatory field.</t>
        </is>
      </c>
      <c r="D14" s="151" t="inlineStr">
        <is>
          <t>Date To is mandatory field.</t>
        </is>
      </c>
    </row>
    <row r="15" ht="34" customHeight="1" s="486">
      <c r="A15" s="151" t="inlineStr">
        <is>
          <t>Validation Rule2</t>
        </is>
      </c>
      <c r="B15" s="151" t="inlineStr">
        <is>
          <t>validateAlphaNumeric(ExemptCerti.ListW,"A")</t>
        </is>
      </c>
      <c r="C15" s="151" t="inlineStr">
        <is>
          <t>validateDate(ExemptCerti.ListW,"B")</t>
        </is>
      </c>
      <c r="D15" s="151" t="inlineStr">
        <is>
          <t>validateDate(ExemptCerti.ListW,"C")</t>
        </is>
      </c>
    </row>
    <row r="16" ht="51" customHeight="1" s="486">
      <c r="A16" s="151" t="inlineStr">
        <is>
          <t>Error Message</t>
        </is>
      </c>
      <c r="B16" s="151" t="inlineStr">
        <is>
          <t>Please enter alphanumeric value. Only Special characters like (Space , - . / : \ ' &amp; ( ) { } ! ` | # ; $) are allowed.</t>
        </is>
      </c>
      <c r="C16" s="151" t="inlineStr">
        <is>
          <t>Please enter date in proper format</t>
        </is>
      </c>
      <c r="D16" s="151" t="inlineStr">
        <is>
          <t>Please enter date in proper format</t>
        </is>
      </c>
    </row>
    <row r="17" ht="34" customHeight="1" s="486">
      <c r="A17" s="151" t="inlineStr">
        <is>
          <t>Validation Rule3</t>
        </is>
      </c>
      <c r="C17" s="151" t="inlineStr">
        <is>
          <t>validateDateBtwnRtnPeriod(ExemptCerti.ListW,"B")</t>
        </is>
      </c>
      <c r="D17" s="151" t="inlineStr">
        <is>
          <t>validateDateBtwnRtnPeriod(ExemptCerti.ListW,"C")</t>
        </is>
      </c>
    </row>
    <row r="18" ht="51" customHeight="1" s="486">
      <c r="A18" s="151" t="inlineStr">
        <is>
          <t>Error Message</t>
        </is>
      </c>
      <c r="C18" s="151" t="inlineStr">
        <is>
          <t>Please enter Date between Return Period specified and in dd/mm/yyyy proper format.</t>
        </is>
      </c>
      <c r="D18" s="151" t="inlineStr">
        <is>
          <t>Please enter Date between Return Period specified and in dd/mm/yyyy proper format.</t>
        </is>
      </c>
    </row>
    <row r="19">
      <c r="A19" s="151" t="n"/>
      <c r="B19" s="152" t="n"/>
      <c r="C19" s="152" t="n"/>
      <c r="D19" s="152" t="n"/>
      <c r="E19" s="152" t="n"/>
      <c r="F19" s="152" t="n"/>
      <c r="G19" s="152" t="n"/>
      <c r="H19" s="152" t="n"/>
      <c r="I19" s="152" t="n"/>
      <c r="J19" s="152" t="n"/>
      <c r="K19" s="152" t="n"/>
      <c r="L19" s="152" t="n"/>
      <c r="M19" s="152" t="n"/>
      <c r="Q19" s="152" t="n"/>
    </row>
    <row r="20" ht="34" customFormat="1" customHeight="1" s="150">
      <c r="A20" s="149" t="inlineStr">
        <is>
          <t>D_Stock_Analysis</t>
        </is>
      </c>
      <c r="B20" s="149" t="inlineStr">
        <is>
          <t>Item Name</t>
        </is>
      </c>
      <c r="C20" s="149" t="inlineStr">
        <is>
          <t>Unit of Measure</t>
        </is>
      </c>
      <c r="D20" s="149" t="inlineStr">
        <is>
          <t>Opening Stock</t>
        </is>
      </c>
      <c r="E20" s="149" t="inlineStr">
        <is>
          <t>Purchase</t>
        </is>
      </c>
      <c r="F20" s="149" t="inlineStr">
        <is>
          <t>Sales Quantity</t>
        </is>
      </c>
      <c r="G20" s="149" t="inlineStr">
        <is>
          <t>Closing Stock</t>
        </is>
      </c>
      <c r="H20" s="149" t="inlineStr">
        <is>
          <t>Shortage / (Excess), if any</t>
        </is>
      </c>
      <c r="I20" s="149" t="n"/>
      <c r="J20" s="149" t="n"/>
      <c r="K20" s="149" t="n"/>
      <c r="L20" s="149" t="n"/>
      <c r="M20" s="149" t="n"/>
      <c r="N20" s="149" t="n"/>
      <c r="O20" s="149" t="n"/>
      <c r="P20" s="149" t="n"/>
      <c r="Q20" s="149" t="n"/>
      <c r="R20" s="149" t="inlineStr">
        <is>
          <t>Section D Part 1 : Quantitative Details of Stock / Inventory (Self)</t>
        </is>
      </c>
    </row>
    <row r="21" ht="17" customHeight="1" s="486">
      <c r="A21" s="151" t="inlineStr">
        <is>
          <t>Mandatory</t>
        </is>
      </c>
      <c r="B21" s="151" t="inlineStr">
        <is>
          <t>Y</t>
        </is>
      </c>
      <c r="C21" s="151" t="inlineStr">
        <is>
          <t>Y</t>
        </is>
      </c>
      <c r="D21" s="151" t="inlineStr">
        <is>
          <t>Y</t>
        </is>
      </c>
      <c r="E21" s="151" t="inlineStr">
        <is>
          <t>Y</t>
        </is>
      </c>
      <c r="F21" s="151" t="inlineStr">
        <is>
          <t>Y</t>
        </is>
      </c>
      <c r="G21" s="151" t="inlineStr">
        <is>
          <t>Y</t>
        </is>
      </c>
      <c r="H21" s="151" t="inlineStr">
        <is>
          <t>Y</t>
        </is>
      </c>
    </row>
    <row r="22" ht="34" customHeight="1" s="486">
      <c r="A22" s="151" t="inlineStr">
        <is>
          <t>Validation Rule1</t>
        </is>
      </c>
      <c r="B22" s="151" t="inlineStr">
        <is>
          <t>isMandatory(Inv.QuantDtlsListS,B21,"A")</t>
        </is>
      </c>
      <c r="C22" s="151" t="inlineStr">
        <is>
          <t>isMandatory(Inv.QuantDtlsListS,C21,"B")</t>
        </is>
      </c>
      <c r="D22" s="151" t="inlineStr">
        <is>
          <t>isMandatory(Inv.QuantDtlsListS,D21,"C")</t>
        </is>
      </c>
      <c r="E22" s="151" t="inlineStr">
        <is>
          <t>isMandatory(Inv.QuantDtlsListS,E21,"D")</t>
        </is>
      </c>
      <c r="F22" s="151" t="inlineStr">
        <is>
          <t>isMandatory(Inv.QuantDtlsListS,F21,"E")</t>
        </is>
      </c>
      <c r="G22" s="151" t="inlineStr">
        <is>
          <t>isMandatory(Inv.QuantDtlsListS,G21,"F")</t>
        </is>
      </c>
      <c r="H22" s="151" t="inlineStr">
        <is>
          <t>isMandatory(Inv.QuantDtlsListS,H21,"G")</t>
        </is>
      </c>
    </row>
    <row r="23" ht="34" customHeight="1" s="486">
      <c r="A23" s="151" t="inlineStr">
        <is>
          <t>Error Message</t>
        </is>
      </c>
      <c r="B23" s="151">
        <f>CONCATENATE(B20,ErrMsg.Mandatory)</f>
        <v/>
      </c>
      <c r="C23" s="151">
        <f>CONCATENATE(C20,ErrMsg.Mandatory)</f>
        <v/>
      </c>
      <c r="D23" s="151">
        <f>CONCATENATE(D20,ErrMsg.Mandatory)</f>
        <v/>
      </c>
      <c r="E23" s="151">
        <f>CONCATENATE(E20,ErrMsg.Mandatory)</f>
        <v/>
      </c>
      <c r="F23" s="151">
        <f>CONCATENATE(F20,ErrMsg.Mandatory)</f>
        <v/>
      </c>
      <c r="G23" s="151">
        <f>CONCATENATE(G20,ErrMsg.Mandatory)</f>
        <v/>
      </c>
      <c r="H23" s="151">
        <f>CONCATENATE(H20,ErrMsg.Mandatory)</f>
        <v/>
      </c>
    </row>
    <row r="24" ht="34" customHeight="1" s="486">
      <c r="A24" s="151" t="inlineStr">
        <is>
          <t>Validation Rule2</t>
        </is>
      </c>
      <c r="B24" s="151" t="inlineStr">
        <is>
          <t>validateAlphaNumeric(Inv.QuantDtlsListS,"A")</t>
        </is>
      </c>
      <c r="C24" s="151" t="inlineStr">
        <is>
          <t>validateAlphabetOnlyWithSpaceDot(Inv.QuantDtlsListS,"B")</t>
        </is>
      </c>
      <c r="D24" s="151" t="inlineStr">
        <is>
          <t>validateCurrencyFormat(Inv.QuantDtlsListS,"c")</t>
        </is>
      </c>
      <c r="E24" s="151" t="inlineStr">
        <is>
          <t>validateCurrencyFormat(Inv.QuantDtlsListS,"d")</t>
        </is>
      </c>
      <c r="F24" s="151" t="inlineStr">
        <is>
          <t>validateCurrencyFormat(Inv.QuantDtlsListS,"e")</t>
        </is>
      </c>
      <c r="G24" s="151" t="inlineStr">
        <is>
          <t>validateCurrencyFormat(Inv.QuantDtlsListS,"f")</t>
        </is>
      </c>
      <c r="H24" s="151" t="inlineStr">
        <is>
          <t>validateCurrencyFormat(Inv.QuantDtlsListS,"g")</t>
        </is>
      </c>
    </row>
    <row r="25" ht="51" customHeight="1" s="486">
      <c r="A25" s="151" t="inlineStr">
        <is>
          <t>Error Message</t>
        </is>
      </c>
      <c r="B25" s="152">
        <f>ErrMsg.alphanumeric</f>
        <v/>
      </c>
      <c r="C25" s="152" t="inlineStr">
        <is>
          <t>Please enter alphabetic value. Only Special characters like (space .) are allowed.</t>
        </is>
      </c>
      <c r="D25" s="152">
        <f>ErrMsg.NumericVal</f>
        <v/>
      </c>
      <c r="E25" s="152">
        <f>ErrMsg.NumericVal</f>
        <v/>
      </c>
      <c r="F25" s="152">
        <f>ErrMsg.NumericVal</f>
        <v/>
      </c>
      <c r="G25" s="152">
        <f>ErrMsg.NumericVal</f>
        <v/>
      </c>
      <c r="H25" s="152">
        <f>ErrMsg.NumericVal</f>
        <v/>
      </c>
    </row>
    <row r="26" ht="34" customHeight="1" s="486">
      <c r="A26" s="151" t="inlineStr">
        <is>
          <t>Validation Rule3</t>
        </is>
      </c>
      <c r="B26" s="152" t="n"/>
      <c r="C26" s="152" t="n"/>
      <c r="D26" s="152" t="n"/>
      <c r="E26" s="152" t="n"/>
      <c r="F26" s="152" t="inlineStr">
        <is>
          <t>validateSalesQtyD1(Inv.QuantDtlsListS)</t>
        </is>
      </c>
      <c r="G26" s="152" t="n"/>
      <c r="H26" s="152" t="n"/>
    </row>
    <row r="27" ht="51" customHeight="1" s="486">
      <c r="A27" s="151" t="inlineStr">
        <is>
          <t>Error Message</t>
        </is>
      </c>
      <c r="B27" s="152" t="n"/>
      <c r="C27" s="152" t="n"/>
      <c r="D27" s="152" t="n"/>
      <c r="E27" s="152" t="n"/>
      <c r="F27" s="152" t="inlineStr">
        <is>
          <t>Sales Quantity should be less than or equal to sum of Opening Stock and Purchase.</t>
        </is>
      </c>
      <c r="G27" s="152" t="n"/>
      <c r="H27" s="152" t="n"/>
    </row>
    <row r="29" ht="40.5" customFormat="1" customHeight="1" s="150">
      <c r="A29" s="149" t="inlineStr">
        <is>
          <t>D_Stock_Analysis</t>
        </is>
      </c>
      <c r="B29" s="149" t="inlineStr">
        <is>
          <t>Item Name</t>
        </is>
      </c>
      <c r="C29" s="149" t="inlineStr">
        <is>
          <t>Unit of Measure</t>
        </is>
      </c>
      <c r="D29" s="149" t="inlineStr">
        <is>
          <t>Opening Stock</t>
        </is>
      </c>
      <c r="E29" s="149" t="inlineStr">
        <is>
          <t>Purchase</t>
        </is>
      </c>
      <c r="F29" s="149" t="inlineStr">
        <is>
          <t>Sales Quantity</t>
        </is>
      </c>
      <c r="G29" s="149" t="inlineStr">
        <is>
          <t>Closing Stock</t>
        </is>
      </c>
      <c r="H29" s="149" t="inlineStr">
        <is>
          <t>Shortage / (Excess), if any</t>
        </is>
      </c>
      <c r="I29" s="149" t="n"/>
      <c r="J29" s="149" t="n"/>
      <c r="K29" s="149" t="n"/>
      <c r="L29" s="149" t="n"/>
      <c r="M29" s="149" t="n"/>
      <c r="N29" s="149" t="n"/>
      <c r="O29" s="149" t="n"/>
      <c r="P29" s="149" t="n"/>
      <c r="Q29" s="149" t="n"/>
      <c r="R29" s="149" t="inlineStr">
        <is>
          <t>Section D Part 1 : Quantitative Details of Stock / Inventory (Wife)</t>
        </is>
      </c>
    </row>
    <row r="30" ht="17" customHeight="1" s="486">
      <c r="A30" s="151" t="inlineStr">
        <is>
          <t>Mandatory</t>
        </is>
      </c>
      <c r="B30" s="151" t="inlineStr">
        <is>
          <t>Y</t>
        </is>
      </c>
      <c r="C30" s="151" t="inlineStr">
        <is>
          <t>Y</t>
        </is>
      </c>
      <c r="D30" s="151" t="inlineStr">
        <is>
          <t>Y</t>
        </is>
      </c>
      <c r="E30" s="151" t="inlineStr">
        <is>
          <t>Y</t>
        </is>
      </c>
      <c r="F30" s="151" t="inlineStr">
        <is>
          <t>Y</t>
        </is>
      </c>
      <c r="G30" s="151" t="inlineStr">
        <is>
          <t>Y</t>
        </is>
      </c>
      <c r="H30" s="151" t="inlineStr">
        <is>
          <t>Y</t>
        </is>
      </c>
    </row>
    <row r="31" ht="51" customHeight="1" s="486">
      <c r="A31" s="151" t="inlineStr">
        <is>
          <t>Validation Rule1</t>
        </is>
      </c>
      <c r="B31" s="151" t="inlineStr">
        <is>
          <t>IF(RetInf.DeclareWifeIncome="Yes",isMandatory(Inv.QuantDtlsListW,B30,"A"),"NE")</t>
        </is>
      </c>
      <c r="C31" s="151" t="inlineStr">
        <is>
          <t>IF(RetInf.DeclareWifeIncome="Yes",isMandatory(Inv.QuantDtlsListW,C30,"B"),"NE")</t>
        </is>
      </c>
      <c r="D31" s="151" t="inlineStr">
        <is>
          <t>IF(RetInf.DeclareWifeIncome="Yes",isMandatory(Inv.QuantDtlsListW,D30,"C"),"NE")</t>
        </is>
      </c>
      <c r="E31" s="151" t="inlineStr">
        <is>
          <t>IF(RetInf.DeclareWifeIncome="Yes",isMandatory(Inv.QuantDtlsListW,E30,"D"),"NE")</t>
        </is>
      </c>
      <c r="F31" s="151" t="inlineStr">
        <is>
          <t>IF(RetInf.DeclareWifeIncome="Yes",isMandatory(Inv.QuantDtlsListW,F30,"E"),"NE")</t>
        </is>
      </c>
      <c r="G31" s="151" t="inlineStr">
        <is>
          <t>IF(RetInf.DeclareWifeIncome="Yes",isMandatory(Inv.QuantDtlsListW,G30,"F"),"NE")</t>
        </is>
      </c>
      <c r="H31" s="151" t="inlineStr">
        <is>
          <t>IF(RetInf.DeclareWifeIncome="Yes",isMandatory(Inv.QuantDtlsListW,H30,"G"),"NE")</t>
        </is>
      </c>
    </row>
    <row r="32" ht="34" customHeight="1" s="486">
      <c r="A32" s="151" t="inlineStr">
        <is>
          <t>Error Message</t>
        </is>
      </c>
      <c r="B32" s="151">
        <f>CONCATENATE(B29,ErrMsg.Mandatory)</f>
        <v/>
      </c>
      <c r="C32" s="151">
        <f>CONCATENATE(C29,ErrMsg.Mandatory)</f>
        <v/>
      </c>
      <c r="D32" s="151">
        <f>CONCATENATE(D29,ErrMsg.Mandatory)</f>
        <v/>
      </c>
      <c r="E32" s="151">
        <f>CONCATENATE(E29,ErrMsg.Mandatory)</f>
        <v/>
      </c>
      <c r="F32" s="151">
        <f>CONCATENATE(F29,ErrMsg.Mandatory)</f>
        <v/>
      </c>
      <c r="G32" s="151">
        <f>CONCATENATE(G29,ErrMsg.Mandatory)</f>
        <v/>
      </c>
      <c r="H32" s="151">
        <f>CONCATENATE(H29,ErrMsg.Mandatory)</f>
        <v/>
      </c>
    </row>
    <row r="33" ht="51" customHeight="1" s="486">
      <c r="A33" s="151" t="inlineStr">
        <is>
          <t>Validation Rule2</t>
        </is>
      </c>
      <c r="B33" s="151" t="inlineStr">
        <is>
          <t>IF(RetInf.DeclareWifeIncome="Yes",validateAlphaNumeric(Inv.QuantDtlsListW,"A"),"NE")</t>
        </is>
      </c>
      <c r="C33" s="151" t="inlineStr">
        <is>
          <t>IF(RetInf.DeclareWifeIncome="Yes",validateAlphabetOnlyWithSpaceDot(Inv.QuantDtlsListW,"B"),"NE")</t>
        </is>
      </c>
      <c r="D33" s="151" t="inlineStr">
        <is>
          <t>IF(RetInf.DeclareWifeIncome="Yes",validateCurrencyFormat(Inv.QuantDtlsListW,"c"),"NE")</t>
        </is>
      </c>
      <c r="E33" s="151" t="inlineStr">
        <is>
          <t>IF(RetInf.DeclareWifeIncome="Yes",validateCurrencyFormat(Inv.QuantDtlsListW,"d"),"NE")</t>
        </is>
      </c>
      <c r="F33" s="151" t="inlineStr">
        <is>
          <t>IF(RetInf.DeclareWifeIncome="Yes",validateCurrencyFormat(Inv.QuantDtlsListW,"e"),"NE")</t>
        </is>
      </c>
      <c r="G33" s="151" t="inlineStr">
        <is>
          <t>IF(RetInf.DeclareWifeIncome="Yes",validateCurrencyFormat(Inv.QuantDtlsListW,"f"),"NE")</t>
        </is>
      </c>
      <c r="H33" s="151" t="inlineStr">
        <is>
          <t>IF(RetInf.DeclareWifeIncome="Yes",validateCurrencyFormat(Inv.QuantDtlsListW,"g"),"NE")</t>
        </is>
      </c>
    </row>
    <row r="34" ht="51" customHeight="1" s="486">
      <c r="A34" s="151" t="inlineStr">
        <is>
          <t>Error Message</t>
        </is>
      </c>
      <c r="B34" s="152">
        <f>ErrMsg.alphanumeric</f>
        <v/>
      </c>
      <c r="C34" s="152" t="inlineStr">
        <is>
          <t>Please enter alphabetic value. Only Special characters like (space .) are allowed.</t>
        </is>
      </c>
      <c r="D34" s="152">
        <f>ErrMsg.NumericVal</f>
        <v/>
      </c>
      <c r="E34" s="152">
        <f>ErrMsg.NumericVal</f>
        <v/>
      </c>
      <c r="F34" s="152">
        <f>ErrMsg.NumericVal</f>
        <v/>
      </c>
      <c r="G34" s="152">
        <f>ErrMsg.NumericVal</f>
        <v/>
      </c>
      <c r="H34" s="152">
        <f>ErrMsg.NumericVal</f>
        <v/>
      </c>
    </row>
    <row r="35" ht="34" customHeight="1" s="486">
      <c r="A35" s="151" t="inlineStr">
        <is>
          <t>Validation Rule3</t>
        </is>
      </c>
      <c r="B35" s="152" t="n"/>
      <c r="C35" s="152" t="n"/>
      <c r="D35" s="152" t="n"/>
      <c r="E35" s="152" t="n"/>
      <c r="F35" s="152" t="inlineStr">
        <is>
          <t>validateSalesQtyD1(Inv.QuantDtlsListW)</t>
        </is>
      </c>
      <c r="G35" s="152" t="n"/>
      <c r="H35" s="152" t="n"/>
    </row>
    <row r="36" ht="51" customHeight="1" s="486">
      <c r="A36" s="151" t="inlineStr">
        <is>
          <t>Error Message</t>
        </is>
      </c>
      <c r="B36" s="152" t="n"/>
      <c r="C36" s="152" t="n"/>
      <c r="D36" s="152" t="n"/>
      <c r="E36" s="152" t="n"/>
      <c r="F36" s="152" t="inlineStr">
        <is>
          <t>Sales Quantity should be less than or equal to sum of Opening Stock and Purchase.</t>
        </is>
      </c>
      <c r="G36" s="152" t="n"/>
      <c r="H36" s="152" t="n"/>
    </row>
    <row r="38" ht="34" customFormat="1" customHeight="1" s="150">
      <c r="A38" s="149" t="inlineStr">
        <is>
          <t>D_Stock_Analysis</t>
        </is>
      </c>
      <c r="B38" s="149" t="inlineStr">
        <is>
          <t>Item Name</t>
        </is>
      </c>
      <c r="C38" s="149" t="inlineStr">
        <is>
          <t>Unit of Measure</t>
        </is>
      </c>
      <c r="D38" s="149" t="inlineStr">
        <is>
          <t>Opening Stock</t>
        </is>
      </c>
      <c r="E38" s="149" t="inlineStr">
        <is>
          <t>Purchase</t>
        </is>
      </c>
      <c r="F38" s="149" t="inlineStr">
        <is>
          <t>Consumption</t>
        </is>
      </c>
      <c r="G38" s="149" t="inlineStr">
        <is>
          <t>Sales Quantity</t>
        </is>
      </c>
      <c r="H38" s="149" t="inlineStr">
        <is>
          <t>Closing Stock</t>
        </is>
      </c>
      <c r="I38" s="149" t="inlineStr">
        <is>
          <t>Yield Finished Product in Units</t>
        </is>
      </c>
      <c r="J38" s="149" t="inlineStr">
        <is>
          <t>% Yield</t>
        </is>
      </c>
      <c r="K38" s="149" t="inlineStr">
        <is>
          <t>Shortage / (Excess), if any</t>
        </is>
      </c>
      <c r="L38" s="149" t="n"/>
      <c r="M38" s="149" t="n"/>
      <c r="N38" s="149" t="n"/>
      <c r="O38" s="149" t="n"/>
      <c r="P38" s="149" t="n"/>
      <c r="Q38" s="149" t="n"/>
      <c r="R38" s="149" t="inlineStr">
        <is>
          <t>Section D Part 2 : Quantitative Details of Stock / Inventory (Self)</t>
        </is>
      </c>
    </row>
    <row r="39" ht="17" customHeight="1" s="486">
      <c r="A39" s="151" t="inlineStr">
        <is>
          <t>Mandatory</t>
        </is>
      </c>
      <c r="B39" s="151" t="inlineStr">
        <is>
          <t>Y</t>
        </is>
      </c>
      <c r="C39" s="151" t="inlineStr">
        <is>
          <t>Y</t>
        </is>
      </c>
      <c r="D39" s="151" t="inlineStr">
        <is>
          <t>Y</t>
        </is>
      </c>
      <c r="E39" s="151" t="inlineStr">
        <is>
          <t>Y</t>
        </is>
      </c>
      <c r="F39" s="151" t="inlineStr">
        <is>
          <t>Y</t>
        </is>
      </c>
      <c r="G39" s="151" t="inlineStr">
        <is>
          <t>Y</t>
        </is>
      </c>
      <c r="H39" s="151" t="inlineStr">
        <is>
          <t>Y</t>
        </is>
      </c>
      <c r="I39" s="151" t="inlineStr">
        <is>
          <t>Y</t>
        </is>
      </c>
      <c r="J39" s="151" t="inlineStr">
        <is>
          <t>Y</t>
        </is>
      </c>
      <c r="K39" s="151" t="inlineStr">
        <is>
          <t>Y</t>
        </is>
      </c>
    </row>
    <row r="40" ht="34" customHeight="1" s="486">
      <c r="A40" s="151" t="inlineStr">
        <is>
          <t>Validation Rule1</t>
        </is>
      </c>
      <c r="B40" s="151" t="inlineStr">
        <is>
          <t>isMandatory(Inv.QuantDtlsListKIIS,B39,"A")</t>
        </is>
      </c>
      <c r="C40" s="151" t="inlineStr">
        <is>
          <t>isMandatory(Inv.QuantDtlsListKIIS,C39,"B")</t>
        </is>
      </c>
      <c r="D40" s="151" t="inlineStr">
        <is>
          <t>isMandatory(Inv.QuantDtlsListKIIS,D39,"C")</t>
        </is>
      </c>
      <c r="E40" s="151" t="inlineStr">
        <is>
          <t>isMandatory(Inv.QuantDtlsListKIIS,E39,"D")</t>
        </is>
      </c>
      <c r="F40" s="151" t="inlineStr">
        <is>
          <t>isMandatory(Inv.QuantDtlsListKIIS,F39,"E")</t>
        </is>
      </c>
      <c r="G40" s="151" t="inlineStr">
        <is>
          <t>isMandatory(Inv.QuantDtlsListKIIS,G39,"F")</t>
        </is>
      </c>
      <c r="H40" s="151" t="inlineStr">
        <is>
          <t>isMandatory(Inv.QuantDtlsListKIIS,H39,"G")</t>
        </is>
      </c>
      <c r="I40" s="151" t="inlineStr">
        <is>
          <t>isMandatory(Inv.QuantDtlsListKIIS,I39,"H")</t>
        </is>
      </c>
      <c r="J40" s="151" t="inlineStr">
        <is>
          <t>isMandatory(Inv.QuantDtlsListKIIS,J39,"I")</t>
        </is>
      </c>
      <c r="K40" s="151" t="inlineStr">
        <is>
          <t>isMandatory(Inv.QuantDtlsListKIIS,K39,"J")</t>
        </is>
      </c>
    </row>
    <row r="41" ht="34" customHeight="1" s="486">
      <c r="A41" s="151" t="inlineStr">
        <is>
          <t>Error Message</t>
        </is>
      </c>
      <c r="B41" s="151">
        <f>CONCATENATE(B38,ErrMsg.Mandatory)</f>
        <v/>
      </c>
      <c r="C41" s="151">
        <f>CONCATENATE(C38,ErrMsg.Mandatory)</f>
        <v/>
      </c>
      <c r="D41" s="151">
        <f>CONCATENATE(D38,ErrMsg.Mandatory)</f>
        <v/>
      </c>
      <c r="E41" s="151">
        <f>CONCATENATE(E38,ErrMsg.Mandatory)</f>
        <v/>
      </c>
      <c r="F41" s="151">
        <f>CONCATENATE(F38,ErrMsg.Mandatory)</f>
        <v/>
      </c>
      <c r="G41" s="151">
        <f>CONCATENATE(G38,ErrMsg.Mandatory)</f>
        <v/>
      </c>
      <c r="H41" s="151">
        <f>CONCATENATE(H38,ErrMsg.Mandatory)</f>
        <v/>
      </c>
      <c r="I41" s="151">
        <f>CONCATENATE(I38,ErrMsg.Mandatory)</f>
        <v/>
      </c>
      <c r="J41" s="151">
        <f>CONCATENATE(J38,ErrMsg.Mandatory)</f>
        <v/>
      </c>
      <c r="K41" s="151">
        <f>CONCATENATE(K38,ErrMsg.Mandatory)</f>
        <v/>
      </c>
    </row>
    <row r="42" ht="34" customHeight="1" s="486">
      <c r="A42" s="151" t="inlineStr">
        <is>
          <t>Validation Rule2</t>
        </is>
      </c>
      <c r="B42" s="151" t="inlineStr">
        <is>
          <t>validateAlphaNumeric(Inv.QuantDtlsListKIIS,"A")</t>
        </is>
      </c>
      <c r="C42" s="151" t="inlineStr">
        <is>
          <t>validateAlphabetOnlyWithSpaceDot(Inv.QuantDtlsListKIIS,"B")</t>
        </is>
      </c>
      <c r="D42" s="151" t="inlineStr">
        <is>
          <t>validateCurrencyFormat(Inv.QuantDtlsListKIIS,"c")</t>
        </is>
      </c>
      <c r="E42" s="151" t="inlineStr">
        <is>
          <t>validateCurrencyFormat(Inv.QuantDtlsListKIIS,"d")</t>
        </is>
      </c>
      <c r="F42" s="151" t="inlineStr">
        <is>
          <t>validateCurrencyFormat(Inv.QuantDtlsListKIIS,"e")</t>
        </is>
      </c>
      <c r="G42" s="151" t="inlineStr">
        <is>
          <t>validateCurrencyFormat(Inv.QuantDtlsListKIIS,"f")</t>
        </is>
      </c>
      <c r="H42" s="151" t="inlineStr">
        <is>
          <t>validateCurrencyFormat(Inv.QuantDtlsListKIIS,"g")</t>
        </is>
      </c>
      <c r="I42" s="151" t="inlineStr">
        <is>
          <t>validateCurrencyFormat(Inv.QuantDtlsListKIIS,"h")</t>
        </is>
      </c>
      <c r="J42" s="151" t="inlineStr">
        <is>
          <t>validateCurrencyFormat(Inv.QuantDtlsListKIIS,"i")</t>
        </is>
      </c>
      <c r="K42" s="151" t="inlineStr">
        <is>
          <t>validateCurrencyFormat(Inv.QuantDtlsListKIIS,"j")</t>
        </is>
      </c>
    </row>
    <row r="43" ht="51" customHeight="1" s="486">
      <c r="A43" s="151" t="inlineStr">
        <is>
          <t>Error Message</t>
        </is>
      </c>
      <c r="B43" s="152">
        <f>ErrMsg.alphanumeric</f>
        <v/>
      </c>
      <c r="C43" s="152" t="inlineStr">
        <is>
          <t>Please enter alphabetic value. Only Special characters like (space .) are allowed.</t>
        </is>
      </c>
      <c r="D43" s="152">
        <f>ErrMsg.NumericVal</f>
        <v/>
      </c>
      <c r="E43" s="152">
        <f>ErrMsg.NumericVal</f>
        <v/>
      </c>
      <c r="F43" s="152">
        <f>ErrMsg.NumericVal</f>
        <v/>
      </c>
      <c r="G43" s="152">
        <f>ErrMsg.NumericVal</f>
        <v/>
      </c>
      <c r="H43" s="152">
        <f>ErrMsg.NumericVal</f>
        <v/>
      </c>
      <c r="I43" s="152">
        <f>ErrMsg.NumericVal</f>
        <v/>
      </c>
      <c r="J43" s="152">
        <f>ErrMsg.NumericVal</f>
        <v/>
      </c>
      <c r="K43" s="152">
        <f>ErrMsg.NumericVal</f>
        <v/>
      </c>
    </row>
    <row r="44" ht="34" customHeight="1" s="486">
      <c r="A44" s="151" t="inlineStr">
        <is>
          <t>Validation Rule3</t>
        </is>
      </c>
      <c r="B44" s="152" t="n"/>
      <c r="C44" s="152" t="n"/>
      <c r="D44" s="152" t="n"/>
      <c r="E44" s="152" t="n"/>
      <c r="F44" s="152" t="n"/>
      <c r="G44" s="152" t="inlineStr">
        <is>
          <t>validateSalesQtyD2(Inv.QuantDtlsListKIIS)</t>
        </is>
      </c>
      <c r="H44" s="152" t="n"/>
      <c r="I44" s="152" t="n"/>
      <c r="J44" s="152" t="n"/>
      <c r="K44" s="152" t="n"/>
    </row>
    <row r="45" ht="51" customHeight="1" s="486">
      <c r="A45" s="151" t="inlineStr">
        <is>
          <t>Error Message</t>
        </is>
      </c>
      <c r="B45" s="152" t="n"/>
      <c r="C45" s="152" t="n"/>
      <c r="D45" s="152" t="n"/>
      <c r="E45" s="152" t="n"/>
      <c r="F45" s="152" t="n"/>
      <c r="G45" s="152" t="inlineStr">
        <is>
          <t>Sales Quantity should be less than or equal to sum of Opening Stock and Purchase less Consumption.</t>
        </is>
      </c>
      <c r="H45" s="152" t="n"/>
      <c r="I45" s="152" t="n"/>
      <c r="J45" s="152" t="n"/>
      <c r="K45" s="152" t="n"/>
    </row>
    <row r="47" ht="39.75" customFormat="1" customHeight="1" s="150">
      <c r="A47" s="149" t="inlineStr">
        <is>
          <t>D_Stock_Analysis</t>
        </is>
      </c>
      <c r="B47" s="149" t="inlineStr">
        <is>
          <t>Item Name</t>
        </is>
      </c>
      <c r="C47" s="149" t="inlineStr">
        <is>
          <t>Unit of Measure</t>
        </is>
      </c>
      <c r="D47" s="149" t="inlineStr">
        <is>
          <t>Opening Stock</t>
        </is>
      </c>
      <c r="E47" s="149" t="inlineStr">
        <is>
          <t>Purchase</t>
        </is>
      </c>
      <c r="F47" s="149" t="inlineStr">
        <is>
          <t>Consumption</t>
        </is>
      </c>
      <c r="G47" s="149" t="inlineStr">
        <is>
          <t>Sales Quantity</t>
        </is>
      </c>
      <c r="H47" s="149" t="inlineStr">
        <is>
          <t>Closing Stock</t>
        </is>
      </c>
      <c r="I47" s="149" t="inlineStr">
        <is>
          <t>Yield Finished Product in Units</t>
        </is>
      </c>
      <c r="J47" s="149" t="inlineStr">
        <is>
          <t>% Yield</t>
        </is>
      </c>
      <c r="K47" s="149" t="inlineStr">
        <is>
          <t>Shortage / (Excess), if any</t>
        </is>
      </c>
      <c r="L47" s="149" t="n"/>
      <c r="M47" s="149" t="n"/>
      <c r="N47" s="149" t="n"/>
      <c r="O47" s="149" t="n"/>
      <c r="P47" s="149" t="n"/>
      <c r="Q47" s="149" t="n"/>
      <c r="R47" s="149" t="inlineStr">
        <is>
          <t>Section D Part 2 : Quantitative Details of Stock / Inventory (Wife)</t>
        </is>
      </c>
    </row>
    <row r="48" ht="17" customHeight="1" s="486">
      <c r="A48" s="151" t="inlineStr">
        <is>
          <t>Mandatory</t>
        </is>
      </c>
      <c r="B48" s="151" t="inlineStr">
        <is>
          <t>Y</t>
        </is>
      </c>
      <c r="C48" s="151" t="inlineStr">
        <is>
          <t>Y</t>
        </is>
      </c>
      <c r="D48" s="151" t="inlineStr">
        <is>
          <t>Y</t>
        </is>
      </c>
      <c r="E48" s="151" t="inlineStr">
        <is>
          <t>Y</t>
        </is>
      </c>
      <c r="F48" s="151" t="inlineStr">
        <is>
          <t>Y</t>
        </is>
      </c>
      <c r="G48" s="151" t="inlineStr">
        <is>
          <t>Y</t>
        </is>
      </c>
      <c r="H48" s="151" t="inlineStr">
        <is>
          <t>Y</t>
        </is>
      </c>
      <c r="I48" s="151" t="inlineStr">
        <is>
          <t>Y</t>
        </is>
      </c>
      <c r="J48" s="151" t="inlineStr">
        <is>
          <t>Y</t>
        </is>
      </c>
      <c r="K48" s="151" t="inlineStr">
        <is>
          <t>Y</t>
        </is>
      </c>
    </row>
    <row r="49" ht="51" customHeight="1" s="486">
      <c r="A49" s="151" t="inlineStr">
        <is>
          <t>Validation Rule1</t>
        </is>
      </c>
      <c r="B49" s="151" t="inlineStr">
        <is>
          <t>IF(RetInf.DeclareWifeIncome="Yes",isMandatory(Inv.QuantDtlsListKIIW,B48,"A"),"NE")</t>
        </is>
      </c>
      <c r="C49" s="151" t="inlineStr">
        <is>
          <t>IF(RetInf.DeclareWifeIncome="Yes",isMandatory(Inv.QuantDtlsListKIIW,C48,"B"),"NE")</t>
        </is>
      </c>
      <c r="D49" s="151" t="inlineStr">
        <is>
          <t>IF(RetInf.DeclareWifeIncome="Yes",isMandatory(Inv.QuantDtlsListKIIW,D48,"C"),"NE")</t>
        </is>
      </c>
      <c r="E49" s="151" t="inlineStr">
        <is>
          <t>IF(RetInf.DeclareWifeIncome="Yes",isMandatory(Inv.QuantDtlsListKIIW,E48,"D"),"NE")</t>
        </is>
      </c>
      <c r="F49" s="151" t="inlineStr">
        <is>
          <t>IF(RetInf.DeclareWifeIncome="Yes",isMandatory(Inv.QuantDtlsListKIIW,F48,"E"),"NE")</t>
        </is>
      </c>
      <c r="G49" s="151" t="inlineStr">
        <is>
          <t>IF(RetInf.DeclareWifeIncome="Yes",isMandatory(Inv.QuantDtlsListKIIW,G48,"F"),"NE")</t>
        </is>
      </c>
      <c r="H49" s="151" t="inlineStr">
        <is>
          <t>IF(RetInf.DeclareWifeIncome="Yes",isMandatory(Inv.QuantDtlsListKIIW,H48,"G"),"NE")</t>
        </is>
      </c>
      <c r="I49" s="151" t="inlineStr">
        <is>
          <t>IF(RetInf.DeclareWifeIncome="Yes",isMandatory(Inv.QuantDtlsListKIIW,I48,"H"),"NE")</t>
        </is>
      </c>
      <c r="J49" s="151" t="inlineStr">
        <is>
          <t>IF(RetInf.DeclareWifeIncome="Yes",isMandatory(Inv.QuantDtlsListKIIW,J48,"I"),"NE")</t>
        </is>
      </c>
      <c r="K49" s="151" t="inlineStr">
        <is>
          <t>IF(RetInf.DeclareWifeIncome="Yes",isMandatory(Inv.QuantDtlsListKIIW,K48,"J"),"NE")</t>
        </is>
      </c>
    </row>
    <row r="50" ht="34" customHeight="1" s="486">
      <c r="A50" s="151" t="inlineStr">
        <is>
          <t>Error Message</t>
        </is>
      </c>
      <c r="B50" s="151">
        <f>CONCATENATE(B47,ErrMsg.Mandatory)</f>
        <v/>
      </c>
      <c r="C50" s="151">
        <f>CONCATENATE(C47,ErrMsg.Mandatory)</f>
        <v/>
      </c>
      <c r="D50" s="151">
        <f>CONCATENATE(D47,ErrMsg.Mandatory)</f>
        <v/>
      </c>
      <c r="E50" s="151">
        <f>CONCATENATE(E47,ErrMsg.Mandatory)</f>
        <v/>
      </c>
      <c r="F50" s="151">
        <f>CONCATENATE(F47,ErrMsg.Mandatory)</f>
        <v/>
      </c>
      <c r="G50" s="151">
        <f>CONCATENATE(G47,ErrMsg.Mandatory)</f>
        <v/>
      </c>
      <c r="H50" s="151">
        <f>CONCATENATE(H47,ErrMsg.Mandatory)</f>
        <v/>
      </c>
      <c r="I50" s="151">
        <f>CONCATENATE(I47,ErrMsg.Mandatory)</f>
        <v/>
      </c>
      <c r="J50" s="151">
        <f>CONCATENATE(J47,ErrMsg.Mandatory)</f>
        <v/>
      </c>
      <c r="K50" s="151">
        <f>CONCATENATE(K47,ErrMsg.Mandatory)</f>
        <v/>
      </c>
    </row>
    <row r="51" ht="51" customHeight="1" s="486">
      <c r="A51" s="151" t="inlineStr">
        <is>
          <t>Validation Rule2</t>
        </is>
      </c>
      <c r="B51" s="151" t="inlineStr">
        <is>
          <t>IF(RetInf.DeclareWifeIncome="Yes",validateAlphaNumeric(Inv.QuantDtlsListKIIW,"A"),"NE")</t>
        </is>
      </c>
      <c r="C51" s="151" t="inlineStr">
        <is>
          <t>IF(RetInf.DeclareWifeIncome="Yes",validateAlphabetOnlyWithSpaceDot(Inv.QuantDtlsListKIIW,"B"),"NE")</t>
        </is>
      </c>
      <c r="D51" s="151" t="inlineStr">
        <is>
          <t>IF(RetInf.DeclareWifeIncome="Yes",validateCurrencyFormat(Inv.QuantDtlsListKIIW,"c"),"NE")</t>
        </is>
      </c>
      <c r="E51" s="151" t="inlineStr">
        <is>
          <t>IF(RetInf.DeclareWifeIncome="Yes",validateCurrencyFormat(Inv.QuantDtlsListKIIW,"d"),"NE")</t>
        </is>
      </c>
      <c r="F51" s="151" t="inlineStr">
        <is>
          <t>IF(RetInf.DeclareWifeIncome="Yes",validateCurrencyFormat(Inv.QuantDtlsListKIIW,"e"),"NE")</t>
        </is>
      </c>
      <c r="G51" s="151" t="inlineStr">
        <is>
          <t>IF(RetInf.DeclareWifeIncome="Yes",validateCurrencyFormat(Inv.QuantDtlsListKIIW,"f"),"NE")</t>
        </is>
      </c>
      <c r="H51" s="151" t="inlineStr">
        <is>
          <t>IF(RetInf.DeclareWifeIncome="Yes",validateCurrencyFormat(Inv.QuantDtlsListKIIW,"g"),"NE")</t>
        </is>
      </c>
      <c r="I51" s="151" t="inlineStr">
        <is>
          <t>IF(RetInf.DeclareWifeIncome="Yes",validateCurrencyFormat(Inv.QuantDtlsListKIIW,"h"),"NE")</t>
        </is>
      </c>
      <c r="J51" s="151" t="inlineStr">
        <is>
          <t>IF(RetInf.DeclareWifeIncome="Yes",validateCurrencyFormat(Inv.QuantDtlsListKIIW,"i"),"NE")</t>
        </is>
      </c>
      <c r="K51" s="151" t="inlineStr">
        <is>
          <t>IF(RetInf.DeclareWifeIncome="Yes",validateCurrencyFormat(Inv.QuantDtlsListKIIW,"j"),"NE")</t>
        </is>
      </c>
    </row>
    <row r="52" ht="51" customHeight="1" s="486">
      <c r="A52" s="151" t="inlineStr">
        <is>
          <t>Error Message</t>
        </is>
      </c>
      <c r="B52" s="152">
        <f>ErrMsg.alphanumeric</f>
        <v/>
      </c>
      <c r="C52" s="152" t="inlineStr">
        <is>
          <t>Please enter alphabetic value. Only Special characters like (space .) are allowed.</t>
        </is>
      </c>
      <c r="D52" s="152">
        <f>ErrMsg.NumericVal</f>
        <v/>
      </c>
      <c r="E52" s="152">
        <f>ErrMsg.NumericVal</f>
        <v/>
      </c>
      <c r="F52" s="152">
        <f>ErrMsg.NumericVal</f>
        <v/>
      </c>
      <c r="G52" s="152">
        <f>ErrMsg.NumericVal</f>
        <v/>
      </c>
      <c r="H52" s="152">
        <f>ErrMsg.NumericVal</f>
        <v/>
      </c>
      <c r="I52" s="152">
        <f>ErrMsg.NumericVal</f>
        <v/>
      </c>
      <c r="J52" s="152">
        <f>ErrMsg.NumericVal</f>
        <v/>
      </c>
      <c r="K52" s="152">
        <f>ErrMsg.NumericVal</f>
        <v/>
      </c>
    </row>
    <row r="53" ht="34" customHeight="1" s="486">
      <c r="A53" s="151" t="inlineStr">
        <is>
          <t>Validation Rule3</t>
        </is>
      </c>
      <c r="B53" s="152" t="n"/>
      <c r="C53" s="152" t="n"/>
      <c r="D53" s="152" t="n"/>
      <c r="E53" s="152" t="n"/>
      <c r="F53" s="152" t="n"/>
      <c r="G53" s="152" t="inlineStr">
        <is>
          <t>validateSalesQtyD2(Inv.QuantDtlsListKIIW)</t>
        </is>
      </c>
      <c r="H53" s="152" t="n"/>
      <c r="I53" s="152" t="n"/>
      <c r="J53" s="152" t="n"/>
      <c r="K53" s="152" t="n"/>
    </row>
    <row r="54" ht="51" customHeight="1" s="486">
      <c r="A54" s="151" t="inlineStr">
        <is>
          <t>Error Message</t>
        </is>
      </c>
      <c r="B54" s="152" t="n"/>
      <c r="C54" s="152" t="n"/>
      <c r="D54" s="152" t="n"/>
      <c r="E54" s="152" t="n"/>
      <c r="F54" s="152" t="n"/>
      <c r="G54" s="152" t="inlineStr">
        <is>
          <t>Sales Quantity should be less than or equal to sum of Opening Stock and Purchase less Consumption.</t>
        </is>
      </c>
      <c r="H54" s="152" t="n"/>
      <c r="I54" s="152" t="n"/>
      <c r="J54" s="152" t="n"/>
      <c r="K54" s="152" t="n"/>
    </row>
    <row r="56" ht="51" customFormat="1" customHeight="1" s="150">
      <c r="A56" s="149" t="inlineStr">
        <is>
          <t>E1_IDA_CA</t>
        </is>
      </c>
      <c r="B56" s="149" t="inlineStr">
        <is>
          <t>Item (New only)</t>
        </is>
      </c>
      <c r="C56" s="149" t="inlineStr">
        <is>
          <t>Item Description</t>
        </is>
      </c>
      <c r="D56" s="149" t="inlineStr">
        <is>
          <t>Model</t>
        </is>
      </c>
      <c r="E56" s="149" t="inlineStr">
        <is>
          <t>Serial Number</t>
        </is>
      </c>
      <c r="F56" s="149" t="inlineStr">
        <is>
          <t>Date of First Use</t>
        </is>
      </c>
      <c r="G56" s="149" t="inlineStr">
        <is>
          <t>Location</t>
        </is>
      </c>
      <c r="H56" s="149" t="inlineStr">
        <is>
          <t>Cost</t>
        </is>
      </c>
      <c r="I56" s="149" t="inlineStr">
        <is>
          <t>Investment Deduction</t>
        </is>
      </c>
      <c r="J56" s="149" t="n"/>
      <c r="K56" s="149" t="n"/>
      <c r="L56" s="149" t="n"/>
      <c r="M56" s="149" t="n"/>
      <c r="N56" s="149" t="n"/>
      <c r="O56" s="149" t="n"/>
      <c r="P56" s="149" t="n"/>
      <c r="Q56" s="149" t="n"/>
      <c r="R56" s="149" t="inlineStr">
        <is>
          <t>Section E1 Part 1 : Addition to Plant and Machinery and Investment Deduction (Self)</t>
        </is>
      </c>
    </row>
    <row r="57" ht="17" customHeight="1" s="486">
      <c r="A57" s="151" t="inlineStr">
        <is>
          <t>Mandatory</t>
        </is>
      </c>
      <c r="B57" s="151" t="inlineStr">
        <is>
          <t>Y</t>
        </is>
      </c>
      <c r="C57" s="151" t="inlineStr">
        <is>
          <t>Y</t>
        </is>
      </c>
      <c r="D57" s="151" t="inlineStr">
        <is>
          <t>Y</t>
        </is>
      </c>
      <c r="E57" s="151" t="inlineStr">
        <is>
          <t>Y</t>
        </is>
      </c>
      <c r="F57" s="151" t="inlineStr">
        <is>
          <t>Y</t>
        </is>
      </c>
      <c r="G57" s="151" t="inlineStr">
        <is>
          <t>Y</t>
        </is>
      </c>
      <c r="H57" s="151" t="inlineStr">
        <is>
          <t>Y</t>
        </is>
      </c>
      <c r="I57" s="151" t="inlineStr">
        <is>
          <t>Y</t>
        </is>
      </c>
    </row>
    <row r="58" ht="34" customHeight="1" s="486">
      <c r="A58" s="151" t="inlineStr">
        <is>
          <t>Validation Rule1</t>
        </is>
      </c>
      <c r="B58" s="151" t="inlineStr">
        <is>
          <t>isMandatory(IniAllPlanMach.ListPart1S,B57,"A")</t>
        </is>
      </c>
      <c r="C58" s="151" t="inlineStr">
        <is>
          <t>isMandatory(IniAllPlanMach.ListPart1S,C57,"C")</t>
        </is>
      </c>
      <c r="D58" s="151" t="inlineStr">
        <is>
          <t>isMandatory(IniAllPlanMach.ListPart1S,D57,"E")</t>
        </is>
      </c>
      <c r="E58" s="151" t="inlineStr">
        <is>
          <t>isMandatory(IniAllPlanMach.ListPart1S,E57,"F")</t>
        </is>
      </c>
      <c r="F58" s="151" t="inlineStr">
        <is>
          <t>isMandatory(IniAllPlanMach.ListPart1S,F57,"G")</t>
        </is>
      </c>
      <c r="G58" s="151" t="inlineStr">
        <is>
          <t>isMandatory(IniAllPlanMach.ListPart1S,G57,"H")</t>
        </is>
      </c>
      <c r="H58" s="151" t="inlineStr">
        <is>
          <t>isMandatory(IniAllPlanMach.ListPart1S,H57,"I")</t>
        </is>
      </c>
      <c r="I58" s="151" t="inlineStr">
        <is>
          <t>isMandatory(IniAllPlanMach.ListPart1S,I57,"J")</t>
        </is>
      </c>
    </row>
    <row r="59" ht="34" customHeight="1" s="486">
      <c r="A59" s="151" t="inlineStr">
        <is>
          <t>Error Message</t>
        </is>
      </c>
      <c r="B59" s="151">
        <f>CONCATENATE(B56,ErrMsg.Mandatory)</f>
        <v/>
      </c>
      <c r="C59" s="151">
        <f>CONCATENATE(C56,ErrMsg.Mandatory)</f>
        <v/>
      </c>
      <c r="D59" s="151">
        <f>CONCATENATE(D56,ErrMsg.Mandatory)</f>
        <v/>
      </c>
      <c r="E59" s="151">
        <f>CONCATENATE(E56,ErrMsg.Mandatory)</f>
        <v/>
      </c>
      <c r="F59" s="151">
        <f>CONCATENATE(F56,ErrMsg.Mandatory)</f>
        <v/>
      </c>
      <c r="G59" s="151">
        <f>CONCATENATE(G56,ErrMsg.Mandatory)</f>
        <v/>
      </c>
      <c r="H59" s="151">
        <f>CONCATENATE(H56,ErrMsg.Mandatory)</f>
        <v/>
      </c>
      <c r="I59" s="151">
        <f>CONCATENATE(I56,ErrMsg.Mandatory)</f>
        <v/>
      </c>
    </row>
    <row r="60" ht="34" customHeight="1" s="486">
      <c r="A60" s="151" t="inlineStr">
        <is>
          <t>Validation Rule2</t>
        </is>
      </c>
      <c r="B60" s="151" t="inlineStr">
        <is>
          <t>validateAlphaNumeric(IniAllPlanMach.ListPart1S,"A")</t>
        </is>
      </c>
      <c r="C60" s="151" t="inlineStr">
        <is>
          <t>validateAlphaNumeric(IniAllPlanMach.ListPart1S,"C")</t>
        </is>
      </c>
      <c r="D60" s="151" t="inlineStr">
        <is>
          <t>validateAlphaNumericOnly(IniAllPlanMach.ListPart1S,"E")</t>
        </is>
      </c>
      <c r="E60" s="151" t="inlineStr">
        <is>
          <t>validateAlphaNumericOnly(IniAllPlanMach.ListPart1S,"F")</t>
        </is>
      </c>
      <c r="F60" s="151" t="inlineStr">
        <is>
          <t>validateDate(IniAllPlanMach.ListPart1S,"G")</t>
        </is>
      </c>
      <c r="H60" s="151" t="inlineStr">
        <is>
          <t>validateCurrencyFormat(IniAllPlanMach.ListPart1S,"I")</t>
        </is>
      </c>
      <c r="I60" s="151" t="inlineStr">
        <is>
          <t>validateAlphaNumeric(IniAllPlanMach.ListPart1S,"J")</t>
        </is>
      </c>
    </row>
    <row r="61" ht="51" customHeight="1" s="486">
      <c r="A61" s="151" t="inlineStr">
        <is>
          <t>Error Message</t>
        </is>
      </c>
      <c r="B61" s="152">
        <f>ErrMsg.alphanumeric</f>
        <v/>
      </c>
      <c r="C61" s="152">
        <f>ErrMsg.alphanumeric</f>
        <v/>
      </c>
      <c r="D61" s="151">
        <f>ErrMsg.alphanumericonly</f>
        <v/>
      </c>
      <c r="E61" s="151">
        <f>ErrMsg.alphanumericonly</f>
        <v/>
      </c>
      <c r="F61" s="151">
        <f>CONCATENATE("Please enter ",F56,ErrMsg.DateFormat)</f>
        <v/>
      </c>
      <c r="G61" s="152" t="n"/>
      <c r="H61" s="152">
        <f>ErrMsg.NumericVal</f>
        <v/>
      </c>
      <c r="I61" s="152">
        <f>ErrMsg.NumericVal</f>
        <v/>
      </c>
    </row>
    <row r="62" ht="34" customHeight="1" s="486">
      <c r="A62" s="151" t="inlineStr">
        <is>
          <t>Validation Rule3</t>
        </is>
      </c>
      <c r="B62" s="152" t="n"/>
      <c r="C62" s="152" t="n"/>
      <c r="F62" s="151" t="inlineStr">
        <is>
          <t>validateDateBtwnRtnPeriod(IniAllPlanMach.ListPart1S,"G")</t>
        </is>
      </c>
      <c r="G62" s="152" t="n"/>
      <c r="H62" s="152" t="n"/>
      <c r="I62" s="152" t="inlineStr">
        <is>
          <t>validateInvDedcE1_1(IniAllPlanMach.ListPart1S)</t>
        </is>
      </c>
    </row>
    <row r="63" ht="34" customHeight="1" s="486">
      <c r="A63" s="151" t="inlineStr">
        <is>
          <t>Error Message</t>
        </is>
      </c>
      <c r="B63" s="152" t="n"/>
      <c r="C63" s="152" t="n"/>
      <c r="F63" s="151">
        <f>ErrMsg.WithinRtnPeriod</f>
        <v/>
      </c>
      <c r="G63" s="152" t="n"/>
      <c r="H63" s="152" t="n"/>
      <c r="I63" s="152" t="inlineStr">
        <is>
          <t>Investment Deduction cannot be greater than Cost.</t>
        </is>
      </c>
    </row>
    <row r="65" ht="51" customFormat="1" customHeight="1" s="150">
      <c r="A65" s="149" t="inlineStr">
        <is>
          <t>E1_IDA_CA</t>
        </is>
      </c>
      <c r="B65" s="149" t="inlineStr">
        <is>
          <t>Item (New only)</t>
        </is>
      </c>
      <c r="C65" s="149" t="inlineStr">
        <is>
          <t>Item Description</t>
        </is>
      </c>
      <c r="D65" s="149" t="inlineStr">
        <is>
          <t>Model</t>
        </is>
      </c>
      <c r="E65" s="149" t="inlineStr">
        <is>
          <t>Serial Number</t>
        </is>
      </c>
      <c r="F65" s="149" t="inlineStr">
        <is>
          <t>Date of First Use</t>
        </is>
      </c>
      <c r="G65" s="149" t="inlineStr">
        <is>
          <t>Location</t>
        </is>
      </c>
      <c r="H65" s="149" t="inlineStr">
        <is>
          <t>Cost</t>
        </is>
      </c>
      <c r="I65" s="149" t="inlineStr">
        <is>
          <t>Investment Deduction</t>
        </is>
      </c>
      <c r="J65" s="149" t="n"/>
      <c r="K65" s="149" t="n"/>
      <c r="L65" s="149" t="n"/>
      <c r="M65" s="149" t="n"/>
      <c r="N65" s="149" t="n"/>
      <c r="O65" s="149" t="n"/>
      <c r="P65" s="149" t="n"/>
      <c r="Q65" s="149" t="n"/>
      <c r="R65" s="149" t="inlineStr">
        <is>
          <t>Section E1 Part 1 : Addition to Plant and Machinery and Investment Deduction (Wife)</t>
        </is>
      </c>
    </row>
    <row r="66" ht="17" customHeight="1" s="486">
      <c r="A66" s="151" t="inlineStr">
        <is>
          <t>Mandatory</t>
        </is>
      </c>
      <c r="B66" s="151" t="inlineStr">
        <is>
          <t>Y</t>
        </is>
      </c>
      <c r="C66" s="151" t="inlineStr">
        <is>
          <t>Y</t>
        </is>
      </c>
      <c r="D66" s="151" t="inlineStr">
        <is>
          <t>Y</t>
        </is>
      </c>
      <c r="E66" s="151" t="inlineStr">
        <is>
          <t>Y</t>
        </is>
      </c>
      <c r="F66" s="151" t="inlineStr">
        <is>
          <t>Y</t>
        </is>
      </c>
      <c r="G66" s="151" t="inlineStr">
        <is>
          <t>Y</t>
        </is>
      </c>
      <c r="H66" s="151" t="inlineStr">
        <is>
          <t>Y</t>
        </is>
      </c>
      <c r="I66" s="151" t="inlineStr">
        <is>
          <t>Y</t>
        </is>
      </c>
    </row>
    <row r="67" ht="51" customHeight="1" s="486">
      <c r="A67" s="151" t="inlineStr">
        <is>
          <t>Validation Rule1</t>
        </is>
      </c>
      <c r="B67" s="151" t="inlineStr">
        <is>
          <t>IF(RetInf.DeclareWifeIncome="Yes",isMandatory(IniAllPlanMach.ListPart1W,B66,"A"),"NE")</t>
        </is>
      </c>
      <c r="C67" s="151" t="inlineStr">
        <is>
          <t>IF(RetInf.DeclareWifeIncome="Yes",isMandatory(IniAllPlanMach.ListPart1W,C66,"C"),"NE")</t>
        </is>
      </c>
      <c r="D67" s="151" t="inlineStr">
        <is>
          <t>IF(RetInf.DeclareWifeIncome="Yes",isMandatory(IniAllPlanMach.ListPart1W,D66,"E"),"NE")</t>
        </is>
      </c>
      <c r="E67" s="151" t="inlineStr">
        <is>
          <t>IF(RetInf.DeclareWifeIncome="Yes",isMandatory(IniAllPlanMach.ListPart1W,E66,"F"),"NE")</t>
        </is>
      </c>
      <c r="F67" s="151" t="inlineStr">
        <is>
          <t>IF(RetInf.DeclareWifeIncome="Yes",isMandatory(IniAllPlanMach.ListPart1W,F66,"G"),"NE")</t>
        </is>
      </c>
      <c r="G67" s="151" t="inlineStr">
        <is>
          <t>IF(RetInf.DeclareWifeIncome="Yes",isMandatory(IniAllPlanMach.ListPart1W,G66,"H"),"NE")</t>
        </is>
      </c>
      <c r="H67" s="151" t="inlineStr">
        <is>
          <t>IF(RetInf.DeclareWifeIncome="Yes",isMandatory(IniAllPlanMach.ListPart1W,H66,"I"),"NE")</t>
        </is>
      </c>
      <c r="I67" s="151" t="inlineStr">
        <is>
          <t>IF(RetInf.DeclareWifeIncome="Yes",isMandatory(IniAllPlanMach.ListPart1W,I66,"J"),"NE")</t>
        </is>
      </c>
    </row>
    <row r="68" ht="34" customHeight="1" s="486">
      <c r="A68" s="151" t="inlineStr">
        <is>
          <t>Error Message</t>
        </is>
      </c>
      <c r="B68" s="151">
        <f>CONCATENATE(B65,ErrMsg.Mandatory)</f>
        <v/>
      </c>
      <c r="C68" s="151">
        <f>CONCATENATE(C65,ErrMsg.Mandatory)</f>
        <v/>
      </c>
      <c r="D68" s="151">
        <f>CONCATENATE(D65,ErrMsg.Mandatory)</f>
        <v/>
      </c>
      <c r="E68" s="151">
        <f>CONCATENATE(E65,ErrMsg.Mandatory)</f>
        <v/>
      </c>
      <c r="F68" s="151">
        <f>CONCATENATE(F65,ErrMsg.Mandatory)</f>
        <v/>
      </c>
      <c r="G68" s="151">
        <f>CONCATENATE(G65,ErrMsg.Mandatory)</f>
        <v/>
      </c>
      <c r="H68" s="151">
        <f>CONCATENATE(H65,ErrMsg.Mandatory)</f>
        <v/>
      </c>
      <c r="I68" s="151">
        <f>CONCATENATE(I65,ErrMsg.Mandatory)</f>
        <v/>
      </c>
    </row>
    <row r="69" ht="51" customHeight="1" s="486">
      <c r="A69" s="151" t="inlineStr">
        <is>
          <t>Validation Rule2</t>
        </is>
      </c>
      <c r="B69" s="151" t="inlineStr">
        <is>
          <t>IF(RetInf.DeclareWifeIncome="Yes",validateAlphaNumeric(IniAllPlanMach.ListPart1W,"A"),"NE")</t>
        </is>
      </c>
      <c r="C69" s="151" t="inlineStr">
        <is>
          <t>IF(RetInf.DeclareWifeIncome="Yes",validateAlphaNumeric(IniAllPlanMach.ListPart1W,"C"),"NE")</t>
        </is>
      </c>
      <c r="D69" s="151" t="inlineStr">
        <is>
          <t>validateAlphaNumericOnly(IniAllPlanMach.ListPart1W,"E")</t>
        </is>
      </c>
      <c r="E69" s="151" t="inlineStr">
        <is>
          <t>validateAlphaNumericOnly(IniAllPlanMach.ListPart1W,"F")</t>
        </is>
      </c>
      <c r="F69" s="151" t="inlineStr">
        <is>
          <t>IF(RetInf.DeclareWifeIncome="Yes",validateDate(IniAllPlanMach.ListPart1W,"G"),"NE")</t>
        </is>
      </c>
      <c r="H69" s="151" t="inlineStr">
        <is>
          <t>IF(RetInf.DeclareWifeIncome="Yes",validateCurrencyFormat(IniAllPlanMach.ListPart1W,"I"),"NE")</t>
        </is>
      </c>
      <c r="I69" s="151" t="inlineStr">
        <is>
          <t>IF(RetInf.DeclareWifeIncome="Yes",validateAlphaNumeric(IniAllPlanMach.ListPart1W,"J"),"NE")</t>
        </is>
      </c>
    </row>
    <row r="70" ht="51" customHeight="1" s="486">
      <c r="A70" s="151" t="inlineStr">
        <is>
          <t>Error Message</t>
        </is>
      </c>
      <c r="B70" s="152">
        <f>ErrMsg.alphanumeric</f>
        <v/>
      </c>
      <c r="C70" s="152">
        <f>ErrMsg.alphanumeric</f>
        <v/>
      </c>
      <c r="D70" s="151">
        <f>ErrMsg.alphanumericonly</f>
        <v/>
      </c>
      <c r="E70" s="151">
        <f>ErrMsg.alphanumericonly</f>
        <v/>
      </c>
      <c r="F70" s="151">
        <f>CONCATENATE("Please enter ",F65,ErrMsg.DateFormat)</f>
        <v/>
      </c>
      <c r="G70" s="152" t="n"/>
      <c r="H70" s="152">
        <f>ErrMsg.NumericVal</f>
        <v/>
      </c>
      <c r="I70" s="152">
        <f>ErrMsg.NumericVal</f>
        <v/>
      </c>
    </row>
    <row r="71" ht="34" customHeight="1" s="486">
      <c r="A71" s="151" t="inlineStr">
        <is>
          <t>Validation Rule3</t>
        </is>
      </c>
      <c r="B71" s="152" t="n"/>
      <c r="C71" s="152" t="n"/>
      <c r="F71" s="151" t="inlineStr">
        <is>
          <t>validateDateBtwnRtnPeriod(IniAllPlanMach.ListPart1W,"G")</t>
        </is>
      </c>
      <c r="G71" s="152" t="n"/>
      <c r="H71" s="152" t="n"/>
      <c r="I71" s="152" t="inlineStr">
        <is>
          <t>validateInvDedcE1_1(IniAllPlanMach.ListPart1W)</t>
        </is>
      </c>
    </row>
    <row r="72" ht="64.5" customHeight="1" s="486">
      <c r="A72" s="151" t="inlineStr">
        <is>
          <t>Error Message</t>
        </is>
      </c>
      <c r="B72" s="152" t="n"/>
      <c r="C72" s="152" t="n"/>
      <c r="F72" s="151">
        <f>ErrMsg.WithinRtnPeriod</f>
        <v/>
      </c>
      <c r="G72" s="152" t="n"/>
      <c r="H72" s="152" t="n"/>
      <c r="I72" s="152" t="inlineStr">
        <is>
          <t>Investment Deduction cannot be greater than Cost.</t>
        </is>
      </c>
    </row>
    <row r="74" ht="34" customFormat="1" customHeight="1" s="149">
      <c r="A74" s="149" t="inlineStr">
        <is>
          <t>E1_IDA_CA</t>
        </is>
      </c>
      <c r="B74" s="149" t="inlineStr">
        <is>
          <t>Building</t>
        </is>
      </c>
      <c r="C74" s="149" t="inlineStr">
        <is>
          <t>Date of First Use</t>
        </is>
      </c>
      <c r="D74" s="149" t="inlineStr">
        <is>
          <t>Days in Use or Available for Use</t>
        </is>
      </c>
      <c r="E74" s="149" t="inlineStr">
        <is>
          <t>Cost</t>
        </is>
      </c>
      <c r="F74" s="149" t="inlineStr">
        <is>
          <t xml:space="preserve">Investment Deduction </t>
        </is>
      </c>
      <c r="G74" s="149" t="inlineStr">
        <is>
          <t>Qualifying Expenditure for Capital Allowance</t>
        </is>
      </c>
      <c r="H74" s="149" t="inlineStr">
        <is>
          <t>Residual Value B/F</t>
        </is>
      </c>
      <c r="I74" s="149" t="inlineStr">
        <is>
          <t>Capital Allowance</t>
        </is>
      </c>
      <c r="J74" s="149" t="inlineStr">
        <is>
          <t xml:space="preserve">Residual Value C/F </t>
        </is>
      </c>
      <c r="R74" s="149" t="inlineStr">
        <is>
          <t>Section E1 Part 2 : Addition to Building , Investment Deduction (Self)</t>
        </is>
      </c>
    </row>
    <row r="75" ht="17" customFormat="1" customHeight="1" s="151">
      <c r="A75" s="151" t="inlineStr">
        <is>
          <t>Mandatory</t>
        </is>
      </c>
      <c r="B75" s="151" t="inlineStr">
        <is>
          <t>Y</t>
        </is>
      </c>
      <c r="C75" s="151" t="inlineStr">
        <is>
          <t>Y</t>
        </is>
      </c>
      <c r="D75" s="151" t="inlineStr">
        <is>
          <t>Y</t>
        </is>
      </c>
      <c r="E75" s="151" t="inlineStr">
        <is>
          <t>Y</t>
        </is>
      </c>
      <c r="F75" s="151" t="inlineStr">
        <is>
          <t>Y</t>
        </is>
      </c>
      <c r="G75" s="151" t="inlineStr">
        <is>
          <t>Y</t>
        </is>
      </c>
      <c r="H75" s="151" t="inlineStr">
        <is>
          <t>Y</t>
        </is>
      </c>
      <c r="I75" s="151" t="inlineStr">
        <is>
          <t>Y</t>
        </is>
      </c>
      <c r="J75" s="151" t="inlineStr">
        <is>
          <t>Y</t>
        </is>
      </c>
    </row>
    <row r="76" ht="34" customFormat="1" customHeight="1" s="151">
      <c r="A76" s="151" t="inlineStr">
        <is>
          <t>Validation Rule1</t>
        </is>
      </c>
      <c r="B76" s="151" t="inlineStr">
        <is>
          <t>isMandatory(IniAllIBD.ListPart2S,B75,"A")</t>
        </is>
      </c>
      <c r="C76" s="151" t="inlineStr">
        <is>
          <t>isMandatory(IniAllIBD.ListPart2S,C75,"D")</t>
        </is>
      </c>
      <c r="D76" s="151" t="inlineStr">
        <is>
          <t>isMandatory(IniAllIBD.ListPart2S,D75,"E")</t>
        </is>
      </c>
      <c r="E76" s="151" t="inlineStr">
        <is>
          <t>isMandatory(IniAllIBD.ListPart2S,E75,"F")</t>
        </is>
      </c>
      <c r="F76" s="151" t="inlineStr">
        <is>
          <t>isMandatory(IniAllIBD.ListPart2S,F75,"G")</t>
        </is>
      </c>
      <c r="G76" s="151" t="inlineStr">
        <is>
          <t>isMandatory(IniAllIBD.ListPart2S,G75,"H")</t>
        </is>
      </c>
      <c r="H76" s="151" t="inlineStr">
        <is>
          <t>isMandatory(IniAllIBD.ListPart2S,H75,"I")</t>
        </is>
      </c>
      <c r="I76" s="151" t="inlineStr">
        <is>
          <t>isMandatory(IniAllIBD.ListPart2S,I75,"J")</t>
        </is>
      </c>
      <c r="J76" s="151" t="inlineStr">
        <is>
          <t>isMandatory(IniAllIBD.ListPart2S,J75,"K")</t>
        </is>
      </c>
    </row>
    <row r="77" ht="34" customFormat="1" customHeight="1" s="151">
      <c r="A77" s="151" t="inlineStr">
        <is>
          <t>Error Message</t>
        </is>
      </c>
      <c r="B77" s="151">
        <f>CONCATENATE(B74,ErrMsg.Mandatory)</f>
        <v/>
      </c>
      <c r="C77" s="151">
        <f>CONCATENATE(C74,ErrMsg.Mandatory)</f>
        <v/>
      </c>
      <c r="D77" s="151">
        <f>CONCATENATE(D74,ErrMsg.Mandatory)</f>
        <v/>
      </c>
      <c r="E77" s="151">
        <f>CONCATENATE(E74,ErrMsg.Mandatory)</f>
        <v/>
      </c>
      <c r="F77" s="151">
        <f>CONCATENATE(F74,ErrMsg.Mandatory)</f>
        <v/>
      </c>
      <c r="G77" s="151">
        <f>CONCATENATE(G74,ErrMsg.Mandatory)</f>
        <v/>
      </c>
      <c r="H77" s="151">
        <f>CONCATENATE(H74,ErrMsg.Mandatory)</f>
        <v/>
      </c>
      <c r="I77" s="151">
        <f>CONCATENATE(I74,ErrMsg.Mandatory)</f>
        <v/>
      </c>
      <c r="J77" s="151">
        <f>CONCATENATE(J74,ErrMsg.Mandatory)</f>
        <v/>
      </c>
    </row>
    <row r="78" ht="34" customFormat="1" customHeight="1" s="151">
      <c r="A78" s="151" t="inlineStr">
        <is>
          <t>Validation Rule2</t>
        </is>
      </c>
      <c r="B78" s="151" t="inlineStr">
        <is>
          <t>validateAlphaNumeric(IniAllIBD.ListPart2S,"A")</t>
        </is>
      </c>
      <c r="C78" s="151" t="inlineStr">
        <is>
          <t>validateDate(IniAllIBD.ListPart2S,"D")</t>
        </is>
      </c>
      <c r="D78" s="151" t="inlineStr">
        <is>
          <t>validateNumericAccount(IniAllIBD.ListPart2S,"E")</t>
        </is>
      </c>
      <c r="E78" s="151" t="inlineStr">
        <is>
          <t>validateCurrencyFormat(IniAllIBD.ListPart2S,"F")</t>
        </is>
      </c>
      <c r="F78" s="151" t="inlineStr">
        <is>
          <t>validateCurrencyFormat(IniAllIBD.ListPart2S,"G")</t>
        </is>
      </c>
      <c r="G78" s="151" t="inlineStr">
        <is>
          <t>validateCurrencyFormat(IniAllIBD.ListPart2S,"H")</t>
        </is>
      </c>
      <c r="H78" s="151" t="inlineStr">
        <is>
          <t>validateCurrencyFormat(IniAllIBD.ListPart2S,"I")</t>
        </is>
      </c>
      <c r="I78" s="151" t="inlineStr">
        <is>
          <t>validateCurrencyFormat(IniAllIBD.ListPart2S,"J")</t>
        </is>
      </c>
      <c r="J78" s="151" t="inlineStr">
        <is>
          <t>validateCurrencyFormat(IniAllIBD.ListPart2S,"K")</t>
        </is>
      </c>
    </row>
    <row r="79" ht="51" customFormat="1" customHeight="1" s="151">
      <c r="A79" s="151" t="inlineStr">
        <is>
          <t>Error Message</t>
        </is>
      </c>
      <c r="B79" s="151">
        <f>ErrMsg.alphanumeric</f>
        <v/>
      </c>
      <c r="C79" s="151">
        <f>CONCATENATE("Please enter ",C74,ErrMsg.DateFormat)</f>
        <v/>
      </c>
      <c r="D79" s="151">
        <f>ErrMsg.NumericVal</f>
        <v/>
      </c>
      <c r="E79" s="151">
        <f>ErrMsg.NumericVal</f>
        <v/>
      </c>
      <c r="F79" s="151">
        <f>ErrMsg.NumericVal</f>
        <v/>
      </c>
      <c r="G79" s="151">
        <f>ErrMsg.NumericVal</f>
        <v/>
      </c>
      <c r="H79" s="151">
        <f>ErrMsg.NumericVal</f>
        <v/>
      </c>
      <c r="I79" s="151">
        <f>ErrMsg.NumericVal</f>
        <v/>
      </c>
      <c r="J79" s="151">
        <f>ErrMsg.NumericVal</f>
        <v/>
      </c>
    </row>
    <row r="80" ht="34" customHeight="1" s="486">
      <c r="A80" s="151" t="inlineStr">
        <is>
          <t>Validation Rule3</t>
        </is>
      </c>
      <c r="B80" s="152" t="n"/>
      <c r="C80" s="151" t="inlineStr">
        <is>
          <t>validateDateBeforeRtnPeriodEnd(IniAllIBD.ListPart2S,"D")</t>
        </is>
      </c>
      <c r="D80" s="152" t="n"/>
      <c r="E80" s="152" t="n"/>
      <c r="F80" s="152" t="inlineStr">
        <is>
          <t>validateInvDedcE1_2(IniAllIBD.ListPart2S)</t>
        </is>
      </c>
      <c r="G80" s="152" t="n"/>
      <c r="H80" s="152" t="n"/>
      <c r="I80" s="152" t="n"/>
      <c r="J80" s="152" t="n"/>
    </row>
    <row r="81" ht="34" customHeight="1" s="486">
      <c r="A81" s="151" t="inlineStr">
        <is>
          <t>Error Message</t>
        </is>
      </c>
      <c r="B81" s="152" t="n"/>
      <c r="C81" s="151" t="inlineStr">
        <is>
          <t>Date of First Use should be before or within Return period.</t>
        </is>
      </c>
      <c r="D81" s="152" t="n"/>
      <c r="E81" s="152" t="n"/>
      <c r="F81" s="152" t="inlineStr">
        <is>
          <t>Investment Deduction cannot be greater than Cost.</t>
        </is>
      </c>
      <c r="G81" s="152" t="n"/>
      <c r="H81" s="152" t="n"/>
      <c r="I81" s="152" t="n"/>
      <c r="J81" s="152" t="n"/>
    </row>
    <row r="83" ht="51" customFormat="1" customHeight="1" s="149">
      <c r="A83" s="149" t="inlineStr">
        <is>
          <t>E1_IDA_CA</t>
        </is>
      </c>
      <c r="B83" s="149" t="inlineStr">
        <is>
          <t>Building</t>
        </is>
      </c>
      <c r="C83" s="149" t="inlineStr">
        <is>
          <t>Date of First Use</t>
        </is>
      </c>
      <c r="D83" s="149" t="inlineStr">
        <is>
          <t>Days in Use or Available for Use</t>
        </is>
      </c>
      <c r="E83" s="149" t="inlineStr">
        <is>
          <t>Cost</t>
        </is>
      </c>
      <c r="F83" s="149" t="inlineStr">
        <is>
          <t xml:space="preserve">Investment Deduction </t>
        </is>
      </c>
      <c r="G83" s="149" t="inlineStr">
        <is>
          <t>Qualifying Expenditure for Capital Allowance</t>
        </is>
      </c>
      <c r="H83" s="149" t="inlineStr">
        <is>
          <t>Residual Value B/F</t>
        </is>
      </c>
      <c r="I83" s="149" t="inlineStr">
        <is>
          <t>Capital Allowance</t>
        </is>
      </c>
      <c r="J83" s="149" t="inlineStr">
        <is>
          <t xml:space="preserve">Residual Value C/F </t>
        </is>
      </c>
      <c r="R83" s="149" t="inlineStr">
        <is>
          <t>Section E1 Part 2 : Addition to Building , Investment Deduction (Wife)</t>
        </is>
      </c>
    </row>
    <row r="84" ht="17" customFormat="1" customHeight="1" s="151">
      <c r="A84" s="151" t="inlineStr">
        <is>
          <t>Mandatory</t>
        </is>
      </c>
      <c r="B84" s="151" t="inlineStr">
        <is>
          <t>Y</t>
        </is>
      </c>
      <c r="C84" s="151" t="inlineStr">
        <is>
          <t>Y</t>
        </is>
      </c>
      <c r="D84" s="151" t="inlineStr">
        <is>
          <t>Y</t>
        </is>
      </c>
      <c r="E84" s="151" t="inlineStr">
        <is>
          <t>Y</t>
        </is>
      </c>
      <c r="F84" s="151" t="inlineStr">
        <is>
          <t>Y</t>
        </is>
      </c>
      <c r="G84" s="151" t="inlineStr">
        <is>
          <t>Y</t>
        </is>
      </c>
      <c r="H84" s="151" t="inlineStr">
        <is>
          <t>Y</t>
        </is>
      </c>
      <c r="I84" s="151" t="inlineStr">
        <is>
          <t>Y</t>
        </is>
      </c>
      <c r="J84" s="151" t="inlineStr">
        <is>
          <t>Y</t>
        </is>
      </c>
    </row>
    <row r="85" ht="51" customHeight="1" s="486">
      <c r="A85" s="151" t="inlineStr">
        <is>
          <t>Validation Rule1</t>
        </is>
      </c>
      <c r="B85" s="151" t="inlineStr">
        <is>
          <t>IF(RetInf.DeclareWifeIncome="Yes",isMandatory(IniAllIBD.ListPart2W,B84,"A"),"NE")</t>
        </is>
      </c>
      <c r="C85" s="151" t="inlineStr">
        <is>
          <t>IF(RetInf.DeclareWifeIncome="Yes",isMandatory(IniAllIBD.ListPart2W,C84,"D"),"NE")</t>
        </is>
      </c>
      <c r="D85" s="151" t="inlineStr">
        <is>
          <t>IF(RetInf.DeclareWifeIncome="Yes",isMandatory(IniAllIBD.ListPart2W,D84,"E"),"NE")</t>
        </is>
      </c>
      <c r="E85" s="151" t="inlineStr">
        <is>
          <t>IF(RetInf.DeclareWifeIncome="Yes",isMandatory(IniAllIBD.ListPart2W,E84,"F"),"NE")</t>
        </is>
      </c>
      <c r="F85" s="151" t="inlineStr">
        <is>
          <t>IF(RetInf.DeclareWifeIncome="Yes",isMandatory(IniAllIBD.ListPart2W,F84,"G"),"NE")</t>
        </is>
      </c>
      <c r="G85" s="151" t="inlineStr">
        <is>
          <t>IF(RetInf.DeclareWifeIncome="Yes",isMandatory(IniAllIBD.ListPart2W,G84,"H"),"NE")</t>
        </is>
      </c>
      <c r="H85" s="151" t="inlineStr">
        <is>
          <t>IF(RetInf.DeclareWifeIncome="Yes",isMandatory(IniAllIBD.ListPart2W,H84,"I"),"NE")</t>
        </is>
      </c>
      <c r="I85" s="151" t="inlineStr">
        <is>
          <t>IF(RetInf.DeclareWifeIncome="Yes",isMandatory(IniAllIBD.ListPart2W,I84,"J"),"NE")</t>
        </is>
      </c>
      <c r="J85" s="151" t="inlineStr">
        <is>
          <t>IF(RetInf.DeclareWifeIncome="Yes",isMandatory(IniAllIBD.ListPart2W,J84,"K"),"NE")</t>
        </is>
      </c>
    </row>
    <row r="86" ht="34" customHeight="1" s="486">
      <c r="A86" s="151" t="inlineStr">
        <is>
          <t>Error Message</t>
        </is>
      </c>
      <c r="B86" s="151">
        <f>CONCATENATE(B83,ErrMsg.Mandatory)</f>
        <v/>
      </c>
      <c r="C86" s="151">
        <f>CONCATENATE(C83,ErrMsg.Mandatory)</f>
        <v/>
      </c>
      <c r="D86" s="151">
        <f>CONCATENATE(D83,ErrMsg.Mandatory)</f>
        <v/>
      </c>
      <c r="E86" s="151">
        <f>CONCATENATE(E83,ErrMsg.Mandatory)</f>
        <v/>
      </c>
      <c r="F86" s="151">
        <f>CONCATENATE(F83,ErrMsg.Mandatory)</f>
        <v/>
      </c>
      <c r="G86" s="151">
        <f>CONCATENATE(G83,ErrMsg.Mandatory)</f>
        <v/>
      </c>
      <c r="H86" s="151">
        <f>CONCATENATE(H83,ErrMsg.Mandatory)</f>
        <v/>
      </c>
      <c r="I86" s="151">
        <f>CONCATENATE(I83,ErrMsg.Mandatory)</f>
        <v/>
      </c>
      <c r="J86" s="151">
        <f>CONCATENATE(J83,ErrMsg.Mandatory)</f>
        <v/>
      </c>
    </row>
    <row r="87" ht="51" customHeight="1" s="486">
      <c r="A87" s="151" t="inlineStr">
        <is>
          <t>Validation Rule2</t>
        </is>
      </c>
      <c r="B87" s="152" t="inlineStr">
        <is>
          <t>IF(RetInf.DeclareWifeIncome="Yes",validateAlphaNumeric(IniAllIBD.ListPart2W,"A"),"NE")</t>
        </is>
      </c>
      <c r="C87" s="152" t="inlineStr">
        <is>
          <t>IF(RetInf.DeclareWifeIncome="Yes",validateDate(IniAllIBD.ListPart2W,"D"),"NE")</t>
        </is>
      </c>
      <c r="D87" s="152" t="inlineStr">
        <is>
          <t>IF(RetInf.DeclareWifeIncome="Yes",validateNumericAccount(IniAllIBD.ListPart2W,"E"),"NE")</t>
        </is>
      </c>
      <c r="E87" s="152" t="inlineStr">
        <is>
          <t>IF(RetInf.DeclareWifeIncome="Yes",validateCurrencyFormat(IniAllIBD.ListPart2W,"F"),"NE")</t>
        </is>
      </c>
      <c r="F87" s="152" t="inlineStr">
        <is>
          <t>IF(RetInf.DeclareWifeIncome="Yes",validateCurrencyFormat(IniAllIBD.ListPart2W,"G"),"NE")</t>
        </is>
      </c>
      <c r="G87" s="152" t="inlineStr">
        <is>
          <t>IF(RetInf.DeclareWifeIncome="Yes",validateCurrencyFormat(IniAllIBD.ListPart2W,"H"),"NE")</t>
        </is>
      </c>
      <c r="H87" s="152" t="inlineStr">
        <is>
          <t>IF(RetInf.DeclareWifeIncome="Yes",validateCurrencyFormat(IniAllIBD.ListPart2W,"I"),"NE")</t>
        </is>
      </c>
      <c r="I87" s="152" t="inlineStr">
        <is>
          <t>IF(RetInf.DeclareWifeIncome="Yes",validateCurrencyFormat(IniAllIBD.ListPart2W,"J"),"NE")</t>
        </is>
      </c>
      <c r="J87" s="152" t="inlineStr">
        <is>
          <t>IF(RetInf.DeclareWifeIncome="Yes",validateCurrencyFormat(IniAllIBD.ListPart2W,"K"),"NE")</t>
        </is>
      </c>
    </row>
    <row r="88" ht="51" customHeight="1" s="486">
      <c r="A88" s="151" t="inlineStr">
        <is>
          <t>Error Message</t>
        </is>
      </c>
      <c r="B88" s="152">
        <f>ErrMsg.alphanumeric</f>
        <v/>
      </c>
      <c r="C88" s="151">
        <f>CONCATENATE("Please enter ",C83,ErrMsg.DateFormat)</f>
        <v/>
      </c>
      <c r="D88" s="152">
        <f>ErrMsg.NumericVal</f>
        <v/>
      </c>
      <c r="E88" s="152">
        <f>ErrMsg.NumericVal</f>
        <v/>
      </c>
      <c r="F88" s="152">
        <f>ErrMsg.NumericVal</f>
        <v/>
      </c>
      <c r="G88" s="152">
        <f>ErrMsg.NumericVal</f>
        <v/>
      </c>
      <c r="H88" s="152">
        <f>ErrMsg.NumericVal</f>
        <v/>
      </c>
      <c r="I88" s="152">
        <f>ErrMsg.NumericVal</f>
        <v/>
      </c>
      <c r="J88" s="152">
        <f>ErrMsg.NumericVal</f>
        <v/>
      </c>
    </row>
    <row r="89" ht="34" customHeight="1" s="486">
      <c r="A89" s="151" t="inlineStr">
        <is>
          <t>Validation Rule3</t>
        </is>
      </c>
      <c r="B89" s="152" t="n"/>
      <c r="C89" s="151" t="inlineStr">
        <is>
          <t>validateDateBeforeRtnPeriodEnd(IniAllIBD.ListPart2W,"D")</t>
        </is>
      </c>
      <c r="D89" s="152" t="n"/>
      <c r="F89" s="152" t="inlineStr">
        <is>
          <t>validateInvDedcE1_2(IniAllIBD.ListPart2W)</t>
        </is>
      </c>
      <c r="G89" s="152" t="n"/>
      <c r="H89" s="152" t="n"/>
      <c r="I89" s="152" t="n"/>
      <c r="J89" s="152" t="n"/>
    </row>
    <row r="90" ht="34" customHeight="1" s="486">
      <c r="A90" s="151" t="inlineStr">
        <is>
          <t>Error Message</t>
        </is>
      </c>
      <c r="B90" s="152" t="n"/>
      <c r="C90" s="151" t="inlineStr">
        <is>
          <t>Date of First Use should be before or within Return period.</t>
        </is>
      </c>
      <c r="D90" s="152" t="n"/>
      <c r="F90" s="152" t="inlineStr">
        <is>
          <t>Investment Deduction cannot be greater than Cost.</t>
        </is>
      </c>
      <c r="G90" s="152" t="n"/>
      <c r="H90" s="152" t="n"/>
      <c r="I90" s="152" t="n"/>
      <c r="J90" s="152" t="n"/>
    </row>
    <row r="92" ht="34" customFormat="1" customHeight="1" s="150">
      <c r="A92" s="149" t="inlineStr">
        <is>
          <t>E2_CA_WTA_WDV</t>
        </is>
      </c>
      <c r="B92" s="149" t="inlineStr">
        <is>
          <t>Class A</t>
        </is>
      </c>
      <c r="C92" s="149" t="inlineStr">
        <is>
          <t>Class B</t>
        </is>
      </c>
      <c r="D92" s="149" t="inlineStr">
        <is>
          <t>Class C</t>
        </is>
      </c>
      <c r="E92" s="149" t="inlineStr">
        <is>
          <t>Class D</t>
        </is>
      </c>
      <c r="F92" s="149" t="inlineStr">
        <is>
          <t>Class E</t>
        </is>
      </c>
      <c r="G92" s="149" t="n"/>
      <c r="H92" s="149" t="n"/>
      <c r="I92" s="149" t="n"/>
      <c r="J92" s="149" t="n"/>
      <c r="K92" s="149" t="n"/>
      <c r="L92" s="149" t="n"/>
      <c r="M92" s="149" t="n"/>
      <c r="N92" s="149" t="n"/>
      <c r="O92" s="149" t="n"/>
      <c r="P92" s="149" t="n"/>
      <c r="Q92" s="149" t="n"/>
      <c r="R92" s="149" t="inlineStr">
        <is>
          <t>Section E2  Part A : Reducing Balance Method (Self)</t>
        </is>
      </c>
    </row>
    <row r="93" ht="17" customHeight="1" s="486">
      <c r="A93" s="151" t="inlineStr">
        <is>
          <t>Mandatory</t>
        </is>
      </c>
      <c r="B93" s="151" t="inlineStr">
        <is>
          <t>N</t>
        </is>
      </c>
      <c r="C93" s="151" t="inlineStr">
        <is>
          <t>N</t>
        </is>
      </c>
      <c r="D93" s="151" t="inlineStr">
        <is>
          <t>N</t>
        </is>
      </c>
      <c r="E93" s="151" t="inlineStr">
        <is>
          <t>N</t>
        </is>
      </c>
      <c r="F93" s="151" t="inlineStr">
        <is>
          <t>N</t>
        </is>
      </c>
    </row>
    <row r="94" ht="17" customHeight="1" s="486">
      <c r="A94" s="151" t="inlineStr">
        <is>
          <t>Validation Rule1</t>
        </is>
      </c>
      <c r="B94" s="151" t="inlineStr">
        <is>
          <t>isMandatory(WAT.ListS,B93,"B")</t>
        </is>
      </c>
      <c r="C94" s="151" t="inlineStr">
        <is>
          <t>isMandatory(WAT.ListS,C93,"C")</t>
        </is>
      </c>
      <c r="D94" s="151" t="inlineStr">
        <is>
          <t>isMandatory(WAT.ListS,D93,"D")</t>
        </is>
      </c>
      <c r="E94" s="151" t="inlineStr">
        <is>
          <t>isMandatory(WAT.ListS,E93,"E")</t>
        </is>
      </c>
      <c r="F94" s="151" t="inlineStr">
        <is>
          <t>isMandatory(WAT.ListS,F93,"F")</t>
        </is>
      </c>
    </row>
    <row r="95" ht="17" customHeight="1" s="486">
      <c r="A95" s="151" t="inlineStr">
        <is>
          <t>Error Message</t>
        </is>
      </c>
      <c r="B95" s="151">
        <f>CONCATENATE(B92,ErrMsg.Mandatory)</f>
        <v/>
      </c>
      <c r="C95" s="151">
        <f>CONCATENATE(C92,ErrMsg.Mandatory)</f>
        <v/>
      </c>
      <c r="D95" s="151">
        <f>CONCATENATE(D92,ErrMsg.Mandatory)</f>
        <v/>
      </c>
      <c r="E95" s="151">
        <f>CONCATENATE(E92,ErrMsg.Mandatory)</f>
        <v/>
      </c>
      <c r="F95" s="151">
        <f>CONCATENATE(F92,ErrMsg.Mandatory)</f>
        <v/>
      </c>
    </row>
    <row r="97" ht="34" customFormat="1" customHeight="1" s="150">
      <c r="A97" s="149" t="inlineStr">
        <is>
          <t>E2_CA_WTA_WDV</t>
        </is>
      </c>
      <c r="B97" s="149" t="inlineStr">
        <is>
          <t>Class A</t>
        </is>
      </c>
      <c r="C97" s="149" t="inlineStr">
        <is>
          <t>Class B</t>
        </is>
      </c>
      <c r="D97" s="149" t="inlineStr">
        <is>
          <t>Class C</t>
        </is>
      </c>
      <c r="E97" s="149" t="inlineStr">
        <is>
          <t>Class D</t>
        </is>
      </c>
      <c r="F97" s="149" t="inlineStr">
        <is>
          <t>Class E</t>
        </is>
      </c>
      <c r="G97" s="149" t="n"/>
      <c r="H97" s="149" t="n"/>
      <c r="I97" s="149" t="n"/>
      <c r="J97" s="149" t="n"/>
      <c r="K97" s="149" t="n"/>
      <c r="L97" s="149" t="n"/>
      <c r="M97" s="149" t="n"/>
      <c r="N97" s="149" t="n"/>
      <c r="O97" s="149" t="n"/>
      <c r="P97" s="149" t="n"/>
      <c r="Q97" s="149" t="n"/>
      <c r="R97" s="149" t="inlineStr">
        <is>
          <t>Section E2  Part A : Reducing Balance Method (Wife)</t>
        </is>
      </c>
    </row>
    <row r="98" ht="17" customHeight="1" s="486">
      <c r="A98" s="151" t="inlineStr">
        <is>
          <t>Mandatory</t>
        </is>
      </c>
      <c r="B98" s="151" t="inlineStr">
        <is>
          <t>N</t>
        </is>
      </c>
      <c r="C98" s="151" t="inlineStr">
        <is>
          <t>N</t>
        </is>
      </c>
      <c r="D98" s="151" t="inlineStr">
        <is>
          <t>N</t>
        </is>
      </c>
      <c r="E98" s="151" t="inlineStr">
        <is>
          <t>N</t>
        </is>
      </c>
      <c r="F98" s="151" t="inlineStr">
        <is>
          <t>N</t>
        </is>
      </c>
    </row>
    <row r="99" ht="17" customHeight="1" s="486">
      <c r="A99" s="151" t="inlineStr">
        <is>
          <t>Validation Rule1</t>
        </is>
      </c>
      <c r="B99" s="151" t="inlineStr">
        <is>
          <t>isMandatory(WAT.ListW,B98,"B")</t>
        </is>
      </c>
      <c r="C99" s="151" t="inlineStr">
        <is>
          <t>isMandatory(WAT.ListW,C98,"C")</t>
        </is>
      </c>
      <c r="D99" s="151" t="inlineStr">
        <is>
          <t>isMandatory(WAT.ListW,D98,"D")</t>
        </is>
      </c>
      <c r="E99" s="151" t="inlineStr">
        <is>
          <t>isMandatory(WAT.ListW,E98,"E")</t>
        </is>
      </c>
      <c r="F99" s="151" t="inlineStr">
        <is>
          <t>isMandatory(WAT.ListW,F98,"F")</t>
        </is>
      </c>
    </row>
    <row r="100" ht="17" customHeight="1" s="486">
      <c r="A100" s="151" t="inlineStr">
        <is>
          <t>Error Message</t>
        </is>
      </c>
      <c r="B100" s="151">
        <f>CONCATENATE(B97,ErrMsg.Mandatory)</f>
        <v/>
      </c>
      <c r="C100" s="151">
        <f>CONCATENATE(C97,ErrMsg.Mandatory)</f>
        <v/>
      </c>
      <c r="D100" s="151">
        <f>CONCATENATE(D97,ErrMsg.Mandatory)</f>
        <v/>
      </c>
      <c r="E100" s="151">
        <f>CONCATENATE(E97,ErrMsg.Mandatory)</f>
        <v/>
      </c>
      <c r="F100" s="151">
        <f>CONCATENATE(F97,ErrMsg.Mandatory)</f>
        <v/>
      </c>
    </row>
    <row r="102" ht="34" customHeight="1" s="486">
      <c r="A102" s="252" t="inlineStr">
        <is>
          <t>E2_CA_WTA_SLM</t>
        </is>
      </c>
      <c r="B102" s="250" t="inlineStr">
        <is>
          <t>Item</t>
        </is>
      </c>
      <c r="C102" s="250" t="inlineStr">
        <is>
          <t>Item Description</t>
        </is>
      </c>
      <c r="D102" s="250" t="inlineStr">
        <is>
          <t xml:space="preserve">Serial Number </t>
        </is>
      </c>
      <c r="E102" s="250" t="inlineStr">
        <is>
          <t>Date of Purchase</t>
        </is>
      </c>
      <c r="F102" s="250" t="inlineStr">
        <is>
          <t>Rate</t>
        </is>
      </c>
      <c r="G102" s="250" t="inlineStr">
        <is>
          <t>Actual Cost</t>
        </is>
      </c>
      <c r="H102" s="250" t="inlineStr">
        <is>
          <t xml:space="preserve">Disposal at Cost during the Year </t>
        </is>
      </c>
      <c r="I102" s="250" t="inlineStr">
        <is>
          <t>Total Cost (Net of Disposal)</t>
        </is>
      </c>
      <c r="J102" s="581" t="inlineStr">
        <is>
          <t>Wear and Tear Deduction for the Year (Ksh)</t>
        </is>
      </c>
      <c r="R102" s="151" t="inlineStr">
        <is>
          <t>Section E2 Part B : Straight Line Method (Self)</t>
        </is>
      </c>
    </row>
    <row r="103">
      <c r="A103" s="250" t="inlineStr">
        <is>
          <t>Mandatory</t>
        </is>
      </c>
      <c r="B103" s="250" t="inlineStr">
        <is>
          <t>Y</t>
        </is>
      </c>
      <c r="C103" s="250" t="inlineStr">
        <is>
          <t>Y</t>
        </is>
      </c>
      <c r="D103" s="250" t="inlineStr">
        <is>
          <t>Y</t>
        </is>
      </c>
      <c r="E103" s="250" t="inlineStr">
        <is>
          <t>Y</t>
        </is>
      </c>
      <c r="F103" s="250" t="inlineStr">
        <is>
          <t>Y</t>
        </is>
      </c>
      <c r="G103" s="250" t="inlineStr">
        <is>
          <t>Y</t>
        </is>
      </c>
      <c r="H103" s="250" t="inlineStr">
        <is>
          <t>Y</t>
        </is>
      </c>
      <c r="I103" s="250" t="inlineStr">
        <is>
          <t>Y</t>
        </is>
      </c>
      <c r="J103" s="581" t="n"/>
    </row>
    <row r="104">
      <c r="A104" s="250" t="inlineStr">
        <is>
          <t>Validation Rule1</t>
        </is>
      </c>
      <c r="B104" s="250" t="inlineStr">
        <is>
          <t>isMandatory(WAT.ListBS,B103,"A")</t>
        </is>
      </c>
      <c r="C104" s="250" t="inlineStr">
        <is>
          <t>isMandatory(WAT.ListBS,C103,"B")</t>
        </is>
      </c>
      <c r="D104" s="250" t="inlineStr">
        <is>
          <t>isMandatory(WAT.ListBS,D103,"C")</t>
        </is>
      </c>
      <c r="E104" s="250" t="inlineStr">
        <is>
          <t>isMandatory(WAT.ListBS,E103,"D")</t>
        </is>
      </c>
      <c r="F104" s="250" t="inlineStr">
        <is>
          <t>isMandatory(WAT.ListBS,F103,"E")</t>
        </is>
      </c>
      <c r="G104" s="250" t="inlineStr">
        <is>
          <t>isMandatory(WAT.ListBS,G103,"F")</t>
        </is>
      </c>
      <c r="H104" s="250" t="inlineStr">
        <is>
          <t>isMandatory(WAT.ListBS,H103,"G")</t>
        </is>
      </c>
      <c r="I104" s="250" t="inlineStr">
        <is>
          <t>isMandatory(WAT.ListBS,I103,"H")</t>
        </is>
      </c>
      <c r="J104" s="250" t="inlineStr">
        <is>
          <t>isMandatory(WAT.ListBS,J103,"I")</t>
        </is>
      </c>
    </row>
    <row r="105" ht="32" customHeight="1" s="486">
      <c r="A105" s="250" t="inlineStr">
        <is>
          <t>Error Message</t>
        </is>
      </c>
      <c r="B105" s="250">
        <f>CONCATENATE(B102,ErrMsg.Mandatory)</f>
        <v/>
      </c>
      <c r="C105" s="250">
        <f>CONCATENATE(C102,ErrMsg.Mandatory)</f>
        <v/>
      </c>
      <c r="D105" s="250">
        <f>CONCATENATE(D102,ErrMsg.Mandatory)</f>
        <v/>
      </c>
      <c r="E105" s="250">
        <f>CONCATENATE(E102,ErrMsg.Mandatory)</f>
        <v/>
      </c>
      <c r="F105" s="250">
        <f>CONCATENATE(F102,ErrMsg.Mandatory)</f>
        <v/>
      </c>
      <c r="G105" s="250">
        <f>CONCATENATE(G102,ErrMsg.Mandatory)</f>
        <v/>
      </c>
      <c r="H105" s="250">
        <f>CONCATENATE(H102,ErrMsg.Mandatory)</f>
        <v/>
      </c>
      <c r="I105" s="250">
        <f>CONCATENATE(I102,ErrMsg.Mandatory)</f>
        <v/>
      </c>
      <c r="J105" s="250">
        <f>CONCATENATE(J102,ErrMsg.Mandatory)</f>
        <v/>
      </c>
    </row>
    <row r="106" ht="32" customHeight="1" s="486">
      <c r="A106" s="250" t="inlineStr">
        <is>
          <t>Validation Rule2</t>
        </is>
      </c>
      <c r="B106" s="250" t="inlineStr">
        <is>
          <t>validateAlphaNumeric(WAT.ListBS,"A")</t>
        </is>
      </c>
      <c r="C106" s="250" t="inlineStr">
        <is>
          <t>validateAlphaNumeric(WAT.ListBS,"B")</t>
        </is>
      </c>
      <c r="D106" s="250" t="inlineStr">
        <is>
          <t>validateAlphaNumericOnly(WAT.ListBS,"C")</t>
        </is>
      </c>
      <c r="E106" s="250" t="inlineStr">
        <is>
          <t>validateDate(WAT.ListBS,"D")</t>
        </is>
      </c>
      <c r="F106" s="250" t="inlineStr">
        <is>
          <t>validateNumeric(WAT.ListBS,"E")</t>
        </is>
      </c>
      <c r="G106" s="250" t="inlineStr">
        <is>
          <t>validateCurrencyFormat(WAT.ListBS,"F")</t>
        </is>
      </c>
      <c r="H106" s="250" t="inlineStr">
        <is>
          <t>validateCurrencyFormat(WAT.ListBS,"G")</t>
        </is>
      </c>
      <c r="I106" s="250" t="inlineStr">
        <is>
          <t>validateCurrencyFormat(WAT.ListBS,"H")</t>
        </is>
      </c>
      <c r="J106" s="250" t="inlineStr">
        <is>
          <t>validateCurrencyFormat(WAT.ListBS,"I")</t>
        </is>
      </c>
    </row>
    <row r="107" ht="48" customHeight="1" s="486">
      <c r="A107" s="250" t="inlineStr">
        <is>
          <t>Error Message</t>
        </is>
      </c>
      <c r="B107" s="251">
        <f>ErrMsg.alphanumeric</f>
        <v/>
      </c>
      <c r="C107" s="250">
        <f>ErrMsg.alphanumeric</f>
        <v/>
      </c>
      <c r="D107" s="250">
        <f>ErrMsg.alphanumericonly</f>
        <v/>
      </c>
      <c r="E107" s="251">
        <f>CONCATENATE("Please enter ",E102,ErrMsg.DateFormat)</f>
        <v/>
      </c>
      <c r="F107" s="251">
        <f>ErrMsg.NumericVal</f>
        <v/>
      </c>
      <c r="G107" s="251">
        <f>ErrMsg.NumericVal</f>
        <v/>
      </c>
      <c r="H107" s="251">
        <f>ErrMsg.NumericVal</f>
        <v/>
      </c>
      <c r="I107" s="251">
        <f>ErrMsg.NumericVal</f>
        <v/>
      </c>
      <c r="J107" s="251">
        <f>ErrMsg.NumericVal</f>
        <v/>
      </c>
    </row>
    <row r="108" ht="32" customHeight="1" s="486">
      <c r="A108" s="250" t="inlineStr">
        <is>
          <t>Validation Rule3</t>
        </is>
      </c>
      <c r="B108" s="251" t="n"/>
      <c r="C108" s="250" t="n"/>
      <c r="D108" s="250" t="n"/>
      <c r="E108" s="251" t="inlineStr">
        <is>
          <t>validateDateBeforeRtnPeriodEnd(WAT.ListBS,"D")</t>
        </is>
      </c>
      <c r="F108" s="251" t="n"/>
      <c r="G108" s="251" t="n"/>
      <c r="H108" s="251" t="inlineStr">
        <is>
          <t>validateDispCostE2(WAT.ListBS)</t>
        </is>
      </c>
      <c r="I108" s="251" t="n"/>
      <c r="J108" s="251" t="n"/>
    </row>
    <row r="109" ht="32" customHeight="1" s="486">
      <c r="A109" s="250" t="inlineStr">
        <is>
          <t>Error Message</t>
        </is>
      </c>
      <c r="B109" s="251" t="n"/>
      <c r="C109" s="250" t="n"/>
      <c r="D109" s="250" t="n"/>
      <c r="E109" s="251" t="inlineStr">
        <is>
          <t>Date of Purchase should be before or within Return period.</t>
        </is>
      </c>
      <c r="F109" s="251" t="n"/>
      <c r="G109" s="251" t="n"/>
      <c r="H109" s="251" t="inlineStr">
        <is>
          <t>Disposal at Cost during the Year should be less than or equal to Actual Cost.</t>
        </is>
      </c>
      <c r="I109" s="251" t="n"/>
      <c r="J109" s="251" t="n"/>
    </row>
    <row r="110">
      <c r="A110" s="250" t="n"/>
      <c r="B110" s="251" t="n"/>
      <c r="C110" s="250" t="n"/>
      <c r="D110" s="250" t="n"/>
      <c r="E110" s="251" t="n"/>
      <c r="F110" s="251" t="n"/>
      <c r="G110" s="251" t="n"/>
      <c r="H110" s="251" t="n"/>
      <c r="I110" s="251" t="n"/>
      <c r="J110" s="251" t="n"/>
    </row>
    <row r="111" ht="34" customHeight="1" s="486">
      <c r="A111" s="252" t="inlineStr">
        <is>
          <t>E2_CA_WTA_SLM</t>
        </is>
      </c>
      <c r="B111" s="250" t="inlineStr">
        <is>
          <t>Item</t>
        </is>
      </c>
      <c r="C111" s="250" t="inlineStr">
        <is>
          <t>Item Description</t>
        </is>
      </c>
      <c r="D111" s="250" t="inlineStr">
        <is>
          <t xml:space="preserve">Serial Number </t>
        </is>
      </c>
      <c r="E111" s="250" t="inlineStr">
        <is>
          <t>Date of Purchase</t>
        </is>
      </c>
      <c r="F111" s="250" t="inlineStr">
        <is>
          <t>Rate</t>
        </is>
      </c>
      <c r="G111" s="250" t="inlineStr">
        <is>
          <t>Actual Cost</t>
        </is>
      </c>
      <c r="H111" s="250" t="inlineStr">
        <is>
          <t xml:space="preserve">Disposal at Cost during the Year </t>
        </is>
      </c>
      <c r="I111" s="250" t="inlineStr">
        <is>
          <t>Total Cost (Net of Disposal)</t>
        </is>
      </c>
      <c r="J111" s="581" t="inlineStr">
        <is>
          <t>Wear and Tear Deduction for the Year (Ksh)</t>
        </is>
      </c>
      <c r="R111" s="151" t="inlineStr">
        <is>
          <t>Section E2 Part B : Straight Line Method (Wife)</t>
        </is>
      </c>
    </row>
    <row r="112">
      <c r="A112" s="250" t="inlineStr">
        <is>
          <t>Mandatory</t>
        </is>
      </c>
      <c r="B112" s="250" t="inlineStr">
        <is>
          <t>Y</t>
        </is>
      </c>
      <c r="C112" s="250" t="inlineStr">
        <is>
          <t>Y</t>
        </is>
      </c>
      <c r="D112" s="250" t="inlineStr">
        <is>
          <t>Y</t>
        </is>
      </c>
      <c r="E112" s="250" t="inlineStr">
        <is>
          <t>Y</t>
        </is>
      </c>
      <c r="F112" s="250" t="inlineStr">
        <is>
          <t>Y</t>
        </is>
      </c>
      <c r="G112" s="250" t="inlineStr">
        <is>
          <t>Y</t>
        </is>
      </c>
      <c r="H112" s="250" t="inlineStr">
        <is>
          <t>Y</t>
        </is>
      </c>
      <c r="I112" s="250" t="inlineStr">
        <is>
          <t>Y</t>
        </is>
      </c>
      <c r="J112" s="581" t="n"/>
    </row>
    <row r="113">
      <c r="A113" s="250" t="inlineStr">
        <is>
          <t>Validation Rule1</t>
        </is>
      </c>
      <c r="B113" s="250" t="inlineStr">
        <is>
          <t>isMandatory(WAT.ListBW,B112,"A")</t>
        </is>
      </c>
      <c r="C113" s="250" t="inlineStr">
        <is>
          <t>isMandatory(WAT.ListBW,C112,"B")</t>
        </is>
      </c>
      <c r="D113" s="250" t="inlineStr">
        <is>
          <t>isMandatory(WAT.ListBW,D112,"C")</t>
        </is>
      </c>
      <c r="E113" s="250" t="inlineStr">
        <is>
          <t>isMandatory(WAT.ListBW,E112,"D")</t>
        </is>
      </c>
      <c r="F113" s="250" t="inlineStr">
        <is>
          <t>isMandatory(WAT.ListBW,F112,"E")</t>
        </is>
      </c>
      <c r="G113" s="250" t="inlineStr">
        <is>
          <t>isMandatory(WAT.ListBW,G112,"F")</t>
        </is>
      </c>
      <c r="H113" s="250" t="inlineStr">
        <is>
          <t>isMandatory(WAT.ListBW,H112,"G")</t>
        </is>
      </c>
      <c r="I113" s="250" t="inlineStr">
        <is>
          <t>isMandatory(WAT.ListBW,I112,"H")</t>
        </is>
      </c>
      <c r="J113" s="250" t="inlineStr">
        <is>
          <t>isMandatory(WAT.ListBW,J112,"I")</t>
        </is>
      </c>
    </row>
    <row r="114" ht="32" customHeight="1" s="486">
      <c r="A114" s="250" t="inlineStr">
        <is>
          <t>Error Message</t>
        </is>
      </c>
      <c r="B114" s="250">
        <f>CONCATENATE(B111,ErrMsg.Mandatory)</f>
        <v/>
      </c>
      <c r="C114" s="250">
        <f>CONCATENATE(C111,ErrMsg.Mandatory)</f>
        <v/>
      </c>
      <c r="D114" s="250">
        <f>CONCATENATE(D111,ErrMsg.Mandatory)</f>
        <v/>
      </c>
      <c r="E114" s="250">
        <f>CONCATENATE(E111,ErrMsg.Mandatory)</f>
        <v/>
      </c>
      <c r="F114" s="250">
        <f>CONCATENATE(F111,ErrMsg.Mandatory)</f>
        <v/>
      </c>
      <c r="G114" s="250">
        <f>CONCATENATE(G111,ErrMsg.Mandatory)</f>
        <v/>
      </c>
      <c r="H114" s="250">
        <f>CONCATENATE(H111,ErrMsg.Mandatory)</f>
        <v/>
      </c>
      <c r="I114" s="250">
        <f>CONCATENATE(I111,ErrMsg.Mandatory)</f>
        <v/>
      </c>
      <c r="J114" s="250">
        <f>CONCATENATE(J111,ErrMsg.Mandatory)</f>
        <v/>
      </c>
    </row>
    <row r="115" ht="32" customHeight="1" s="486">
      <c r="A115" s="250" t="inlineStr">
        <is>
          <t>Validation Rule2</t>
        </is>
      </c>
      <c r="B115" s="250" t="inlineStr">
        <is>
          <t>validateAlphaNumeric(WAT.ListBW,"A")</t>
        </is>
      </c>
      <c r="C115" s="250" t="inlineStr">
        <is>
          <t>validateAlphaNumeric(WAT.ListBW,"B")</t>
        </is>
      </c>
      <c r="D115" s="250" t="inlineStr">
        <is>
          <t>validateAlphaNumericOnly(WAT.ListBW,"C")</t>
        </is>
      </c>
      <c r="E115" s="250" t="inlineStr">
        <is>
          <t>validateDate(WAT.ListBW,"D")</t>
        </is>
      </c>
      <c r="F115" s="250" t="inlineStr">
        <is>
          <t>validateNumeric(WAT.ListBW,"E")</t>
        </is>
      </c>
      <c r="G115" s="250" t="inlineStr">
        <is>
          <t>validateCurrencyFormat(WAT.ListBW,"F")</t>
        </is>
      </c>
      <c r="H115" s="250" t="inlineStr">
        <is>
          <t>validateCurrencyFormat(WAT.ListBW,"G")</t>
        </is>
      </c>
      <c r="I115" s="250" t="inlineStr">
        <is>
          <t>validateCurrencyFormat(WAT.ListBW,"H")</t>
        </is>
      </c>
      <c r="J115" s="250" t="inlineStr">
        <is>
          <t>validateCurrencyFormat(WAT.ListBW,"I")</t>
        </is>
      </c>
    </row>
    <row r="116" ht="48" customHeight="1" s="486">
      <c r="A116" s="250" t="inlineStr">
        <is>
          <t>Error Message</t>
        </is>
      </c>
      <c r="B116" s="251">
        <f>ErrMsg.alphanumeric</f>
        <v/>
      </c>
      <c r="C116" s="250">
        <f>ErrMsg.alphanumeric</f>
        <v/>
      </c>
      <c r="D116" s="250">
        <f>ErrMsg.alphanumericonly</f>
        <v/>
      </c>
      <c r="E116" s="251">
        <f>CONCATENATE("Please enter ",E111,ErrMsg.DateFormat)</f>
        <v/>
      </c>
      <c r="F116" s="251">
        <f>ErrMsg.NumericVal</f>
        <v/>
      </c>
      <c r="G116" s="251">
        <f>ErrMsg.NumericVal</f>
        <v/>
      </c>
      <c r="H116" s="251">
        <f>ErrMsg.NumericVal</f>
        <v/>
      </c>
      <c r="I116" s="251">
        <f>ErrMsg.NumericVal</f>
        <v/>
      </c>
      <c r="J116" s="251">
        <f>ErrMsg.NumericVal</f>
        <v/>
      </c>
    </row>
    <row r="117" ht="32" customHeight="1" s="486">
      <c r="A117" s="250" t="inlineStr">
        <is>
          <t>Validation Rule3</t>
        </is>
      </c>
      <c r="B117" s="251" t="n"/>
      <c r="C117" s="250" t="n"/>
      <c r="D117" s="250" t="n"/>
      <c r="E117" s="251" t="inlineStr">
        <is>
          <t>validateDateBeforeRtnPeriodEnd(WAT.ListBW,"D")</t>
        </is>
      </c>
      <c r="F117" s="251" t="n"/>
      <c r="G117" s="251" t="n"/>
      <c r="H117" s="251" t="inlineStr">
        <is>
          <t>validateDispCostE2(WAT.ListBW)</t>
        </is>
      </c>
      <c r="I117" s="251" t="n"/>
      <c r="J117" s="251" t="n"/>
    </row>
    <row r="118" ht="32" customHeight="1" s="486">
      <c r="A118" s="250" t="inlineStr">
        <is>
          <t>Error Message</t>
        </is>
      </c>
      <c r="B118" s="251" t="n"/>
      <c r="C118" s="250" t="n"/>
      <c r="D118" s="250" t="n"/>
      <c r="E118" s="251" t="inlineStr">
        <is>
          <t>Date of Purchase should be before or within Return period.</t>
        </is>
      </c>
      <c r="F118" s="251" t="n"/>
      <c r="G118" s="251" t="n"/>
      <c r="H118" s="251" t="inlineStr">
        <is>
          <t>Disposal at Cost during the Year should be less than or equal to Actual Cost.</t>
        </is>
      </c>
      <c r="I118" s="251" t="n"/>
      <c r="J118" s="251" t="n"/>
    </row>
    <row r="120" ht="34" customFormat="1" customHeight="1" s="149">
      <c r="A120" s="149" t="inlineStr">
        <is>
          <t>E1_IDA_CA</t>
        </is>
      </c>
      <c r="B120" s="149" t="inlineStr">
        <is>
          <t>Qualifying Assets</t>
        </is>
      </c>
      <c r="C120" s="149" t="inlineStr">
        <is>
          <t>Date of Expenditure</t>
        </is>
      </c>
      <c r="D120" s="149" t="inlineStr">
        <is>
          <t>Expenditure Incurred (Ksh)</t>
        </is>
      </c>
      <c r="E120" s="149" t="inlineStr">
        <is>
          <t>Written Down Value (WDV) at the Beginning of the Year (Ksh)</t>
        </is>
      </c>
      <c r="F120" s="149" t="inlineStr">
        <is>
          <t>Sale or Transfer (Ksh)</t>
        </is>
      </c>
      <c r="G120" s="149" t="inlineStr">
        <is>
          <t>Deductions during the Year (Ksh)</t>
        </is>
      </c>
      <c r="H120" s="149" t="inlineStr">
        <is>
          <t>Written Down Value (WDV) at the End of the Year (Ksh)</t>
        </is>
      </c>
      <c r="R120" s="149" t="inlineStr">
        <is>
          <t>Section E1 Part 3 : Deductions In respect of Farm works (Self)</t>
        </is>
      </c>
    </row>
    <row r="121" ht="17" customHeight="1" s="486">
      <c r="A121" s="151" t="inlineStr">
        <is>
          <t>Mandatory</t>
        </is>
      </c>
      <c r="B121" s="151" t="inlineStr">
        <is>
          <t>Y</t>
        </is>
      </c>
      <c r="C121" s="151" t="inlineStr">
        <is>
          <t>Y</t>
        </is>
      </c>
      <c r="D121" s="151" t="inlineStr">
        <is>
          <t>Y</t>
        </is>
      </c>
      <c r="E121" s="151" t="inlineStr">
        <is>
          <t>Y</t>
        </is>
      </c>
      <c r="F121" s="151" t="inlineStr">
        <is>
          <t>Y</t>
        </is>
      </c>
      <c r="G121" s="151" t="inlineStr">
        <is>
          <t>Y</t>
        </is>
      </c>
      <c r="H121" s="151" t="inlineStr">
        <is>
          <t>Y</t>
        </is>
      </c>
    </row>
    <row r="122" ht="34" customHeight="1" s="486">
      <c r="A122" s="151" t="inlineStr">
        <is>
          <t>Validation Rule1</t>
        </is>
      </c>
      <c r="B122" s="151" t="inlineStr">
        <is>
          <t>isMandatory(AgrLandDed.ListS,B121,"A")</t>
        </is>
      </c>
      <c r="C122" s="151" t="inlineStr">
        <is>
          <t>isMandatory(AgrLandDed.ListS,C121,"B")</t>
        </is>
      </c>
      <c r="D122" s="151" t="inlineStr">
        <is>
          <t>isMandatory(AgrLandDed.ListS,D121,"C")</t>
        </is>
      </c>
      <c r="E122" s="151" t="inlineStr">
        <is>
          <t>isMandatory(AgrLandDed.ListS,E121,"D")</t>
        </is>
      </c>
      <c r="F122" s="151" t="inlineStr">
        <is>
          <t>isMandatory(AgrLandDed.ListS,F121,"E")</t>
        </is>
      </c>
      <c r="G122" s="151" t="inlineStr">
        <is>
          <t>isMandatory(AgrLandDed.ListS,G121,"F")</t>
        </is>
      </c>
      <c r="H122" s="151" t="inlineStr">
        <is>
          <t>isMandatory(AgrLandDed.ListS,H121,"G")</t>
        </is>
      </c>
    </row>
    <row r="123" ht="51" customHeight="1" s="486">
      <c r="A123" s="151" t="inlineStr">
        <is>
          <t>Error Message</t>
        </is>
      </c>
      <c r="B123" s="151">
        <f>CONCATENATE(B120,ErrMsg.Mandatory)</f>
        <v/>
      </c>
      <c r="C123" s="151">
        <f>CONCATENATE(C120,ErrMsg.Mandatory)</f>
        <v/>
      </c>
      <c r="D123" s="151">
        <f>CONCATENATE(D120,ErrMsg.Mandatory)</f>
        <v/>
      </c>
      <c r="E123" s="151">
        <f>CONCATENATE(E120,ErrMsg.Mandatory)</f>
        <v/>
      </c>
      <c r="F123" s="151">
        <f>CONCATENATE(F120,ErrMsg.Mandatory)</f>
        <v/>
      </c>
      <c r="G123" s="151">
        <f>CONCATENATE(G120,ErrMsg.Mandatory)</f>
        <v/>
      </c>
      <c r="H123" s="151">
        <f>CONCATENATE(H120,ErrMsg.Mandatory)</f>
        <v/>
      </c>
    </row>
    <row r="124" ht="34" customHeight="1" s="486">
      <c r="A124" s="151" t="inlineStr">
        <is>
          <t>Validation Rule2</t>
        </is>
      </c>
      <c r="B124" s="152" t="inlineStr">
        <is>
          <t>validateAlphaNumeric(AgrLandDed.ListS,"A")</t>
        </is>
      </c>
      <c r="C124" s="152" t="inlineStr">
        <is>
          <t>validateDate(AgrLandDed.ListS,"B")</t>
        </is>
      </c>
      <c r="D124" s="151" t="inlineStr">
        <is>
          <t>validateCurrencyFormat(AgrLandDed.ListS,"c")</t>
        </is>
      </c>
      <c r="E124" s="151" t="inlineStr">
        <is>
          <t>validateCurrencyFormat(AgrLandDed.ListS,"d")</t>
        </is>
      </c>
      <c r="F124" s="151" t="inlineStr">
        <is>
          <t>validateCurrencyFormat(AgrLandDed.ListS,"E")</t>
        </is>
      </c>
      <c r="G124" s="151" t="inlineStr">
        <is>
          <t>validateCurrencyFormat(AgrLandDed.ListS,"F")</t>
        </is>
      </c>
      <c r="H124" s="151" t="inlineStr">
        <is>
          <t>validateCurrencyFormat(AgrLandDed.ListS,"G")</t>
        </is>
      </c>
    </row>
    <row r="125" ht="51" customHeight="1" s="486">
      <c r="A125" s="151" t="inlineStr">
        <is>
          <t>Error Message</t>
        </is>
      </c>
      <c r="B125" s="152">
        <f>ErrMsg.alphanumeric</f>
        <v/>
      </c>
      <c r="C125" s="151">
        <f>CONCATENATE("Please enter ",C120,ErrMsg.DateFormat)</f>
        <v/>
      </c>
      <c r="D125" s="152">
        <f>ErrMsg.NumericVal</f>
        <v/>
      </c>
      <c r="E125" s="152">
        <f>ErrMsg.NumericVal</f>
        <v/>
      </c>
      <c r="F125" s="152">
        <f>ErrMsg.NumericVal</f>
        <v/>
      </c>
      <c r="G125" s="152">
        <f>ErrMsg.NumericVal</f>
        <v/>
      </c>
      <c r="H125" s="152">
        <f>ErrMsg.NumericVal</f>
        <v/>
      </c>
    </row>
    <row r="126" ht="34" customHeight="1" s="486">
      <c r="A126" s="151" t="inlineStr">
        <is>
          <t>Validation Rule3</t>
        </is>
      </c>
      <c r="B126" s="152" t="n"/>
      <c r="C126" s="151" t="inlineStr">
        <is>
          <t>validateDateBtwnRtnPeriod(AgrLandDed.ListS,"B")</t>
        </is>
      </c>
      <c r="D126" s="152" t="n"/>
      <c r="E126" s="152" t="n"/>
      <c r="G126" s="152" t="inlineStr">
        <is>
          <t>validateDedcE1_3(AgrLandDed.ListS)</t>
        </is>
      </c>
      <c r="H126" s="152" t="n"/>
    </row>
    <row r="127" ht="51" customHeight="1" s="486">
      <c r="A127" s="151" t="inlineStr">
        <is>
          <t>Error Message</t>
        </is>
      </c>
      <c r="B127" s="152" t="n"/>
      <c r="C127" s="151">
        <f>ErrMsg.WithinRtnPeriod</f>
        <v/>
      </c>
      <c r="D127" s="152" t="n"/>
      <c r="E127" s="152" t="n"/>
      <c r="G127" s="152" t="inlineStr">
        <is>
          <t>The sum of values A and B must be greater than or equal to sum of values C and D.</t>
        </is>
      </c>
      <c r="H127" s="152" t="n"/>
    </row>
    <row r="129" ht="34" customFormat="1" customHeight="1" s="149">
      <c r="A129" s="149" t="inlineStr">
        <is>
          <t>E1_IDA_CA</t>
        </is>
      </c>
      <c r="B129" s="149" t="inlineStr">
        <is>
          <t>Qualifying Assets</t>
        </is>
      </c>
      <c r="C129" s="149" t="inlineStr">
        <is>
          <t>Date of Expenditure</t>
        </is>
      </c>
      <c r="D129" s="149" t="inlineStr">
        <is>
          <t>Expenditure Incurred (Ksh)</t>
        </is>
      </c>
      <c r="E129" s="149" t="inlineStr">
        <is>
          <t>Written Down Value (WDV) at the Beginning of the Year (Ksh)</t>
        </is>
      </c>
      <c r="F129" s="149" t="inlineStr">
        <is>
          <t>Sale or Transfer (Ksh)</t>
        </is>
      </c>
      <c r="G129" s="149" t="inlineStr">
        <is>
          <t>Deductions during the Year (Ksh)</t>
        </is>
      </c>
      <c r="H129" s="149" t="inlineStr">
        <is>
          <t>Written Down Value (WDV) at the End of the Year (Ksh)</t>
        </is>
      </c>
      <c r="R129" s="149" t="inlineStr">
        <is>
          <t>Section E1 Part 3 : Deductions In respect of Farm works (Wife)</t>
        </is>
      </c>
    </row>
    <row r="130" ht="17" customHeight="1" s="486">
      <c r="A130" s="151" t="inlineStr">
        <is>
          <t>Mandatory</t>
        </is>
      </c>
      <c r="B130" s="151" t="inlineStr">
        <is>
          <t>Y</t>
        </is>
      </c>
      <c r="C130" s="151" t="inlineStr">
        <is>
          <t>Y</t>
        </is>
      </c>
      <c r="D130" s="151" t="inlineStr">
        <is>
          <t>Y</t>
        </is>
      </c>
      <c r="E130" s="151" t="inlineStr">
        <is>
          <t>Y</t>
        </is>
      </c>
      <c r="F130" s="151" t="inlineStr">
        <is>
          <t>Y</t>
        </is>
      </c>
      <c r="G130" s="151" t="inlineStr">
        <is>
          <t>Y</t>
        </is>
      </c>
      <c r="H130" s="151" t="inlineStr">
        <is>
          <t>Y</t>
        </is>
      </c>
    </row>
    <row r="131" ht="51" customHeight="1" s="486">
      <c r="A131" s="151" t="inlineStr">
        <is>
          <t>Validation Rule1</t>
        </is>
      </c>
      <c r="B131" s="151" t="inlineStr">
        <is>
          <t>IF(RetInf.DeclareWifeIncome="Yes",isMandatory(AgrLandDed.ListW,B130,"A"),"NE")</t>
        </is>
      </c>
      <c r="C131" s="151" t="inlineStr">
        <is>
          <t>IF(RetInf.DeclareWifeIncome="Yes",isMandatory(AgrLandDed.ListW,C130,"B"),"NE")</t>
        </is>
      </c>
      <c r="D131" s="151" t="inlineStr">
        <is>
          <t>IF(RetInf.DeclareWifeIncome="Yes",isMandatory(AgrLandDed.ListW,D130,"C"),"NE")</t>
        </is>
      </c>
      <c r="E131" s="151" t="inlineStr">
        <is>
          <t>IF(RetInf.DeclareWifeIncome="Yes",isMandatory(AgrLandDed.ListW,E130,"D"),"NE")</t>
        </is>
      </c>
      <c r="F131" s="151" t="inlineStr">
        <is>
          <t>IF(RetInf.DeclareWifeIncome="Yes",isMandatory(AgrLandDed.ListW,F130,"E"),"NE")</t>
        </is>
      </c>
      <c r="G131" s="151" t="inlineStr">
        <is>
          <t>IF(RetInf.DeclareWifeIncome="Yes",isMandatory(AgrLandDed.ListW,G130,"F"),"NE")</t>
        </is>
      </c>
      <c r="H131" s="151" t="inlineStr">
        <is>
          <t>IF(RetInf.DeclareWifeIncome="Yes",isMandatory(AgrLandDed.ListW,H130,"G"),"NE")</t>
        </is>
      </c>
    </row>
    <row r="132" ht="51" customHeight="1" s="486">
      <c r="A132" s="151" t="inlineStr">
        <is>
          <t>Error Message</t>
        </is>
      </c>
      <c r="B132" s="151">
        <f>CONCATENATE(B129,ErrMsg.Mandatory)</f>
        <v/>
      </c>
      <c r="C132" s="151">
        <f>CONCATENATE(C129,ErrMsg.Mandatory)</f>
        <v/>
      </c>
      <c r="D132" s="151">
        <f>CONCATENATE(D129,ErrMsg.Mandatory)</f>
        <v/>
      </c>
      <c r="E132" s="151">
        <f>CONCATENATE(E129,ErrMsg.Mandatory)</f>
        <v/>
      </c>
      <c r="F132" s="151">
        <f>CONCATENATE(F129,ErrMsg.Mandatory)</f>
        <v/>
      </c>
      <c r="G132" s="151">
        <f>CONCATENATE(G129,ErrMsg.Mandatory)</f>
        <v/>
      </c>
      <c r="H132" s="151">
        <f>CONCATENATE(H129,ErrMsg.Mandatory)</f>
        <v/>
      </c>
    </row>
    <row r="133" ht="51" customHeight="1" s="486">
      <c r="A133" s="151" t="inlineStr">
        <is>
          <t>Validation Rule2</t>
        </is>
      </c>
      <c r="B133" s="152" t="inlineStr">
        <is>
          <t>IF(RetInf.DeclareWifeIncome="Yes",validateAlphaNumeric(AgrLandDed.ListW,"A"),"NE")</t>
        </is>
      </c>
      <c r="C133" s="152" t="inlineStr">
        <is>
          <t>IF(RetInf.DeclareWifeIncome="Yes",validateDate(AgrLandDed.ListW,"B"),"NE")</t>
        </is>
      </c>
      <c r="D133" s="152" t="inlineStr">
        <is>
          <t>IF(RetInf.DeclareWifeIncome="Yes",validateCurrencyFormat(AgrLandDed.ListW,"c"),"NE")</t>
        </is>
      </c>
      <c r="E133" s="152" t="inlineStr">
        <is>
          <t>IF(RetInf.DeclareWifeIncome="Yes",validateCurrencyFormat(AgrLandDed.ListW,"d"),"NE")</t>
        </is>
      </c>
      <c r="F133" s="152" t="inlineStr">
        <is>
          <t>IF(RetInf.DeclareWifeIncome="Yes",validateCurrencyFormat(AgrLandDed.ListW,"E"),"NE")</t>
        </is>
      </c>
      <c r="G133" s="152" t="inlineStr">
        <is>
          <t>IF(RetInf.DeclareWifeIncome="Yes",validateCurrencyFormat(AgrLandDed.ListW,"F"),"NE")</t>
        </is>
      </c>
      <c r="H133" s="152" t="inlineStr">
        <is>
          <t>IF(RetInf.DeclareWifeIncome="Yes",validateCurrencyFormat(AgrLandDed.ListW,"G"),"NE")</t>
        </is>
      </c>
    </row>
    <row r="134" ht="51" customHeight="1" s="486">
      <c r="A134" s="151" t="inlineStr">
        <is>
          <t>Error Message</t>
        </is>
      </c>
      <c r="B134" s="152">
        <f>ErrMsg.alphanumeric</f>
        <v/>
      </c>
      <c r="C134" s="151">
        <f>CONCATENATE("Please enter ",C129,ErrMsg.DateFormat)</f>
        <v/>
      </c>
      <c r="D134" s="152">
        <f>ErrMsg.NumericVal</f>
        <v/>
      </c>
      <c r="E134" s="152">
        <f>ErrMsg.NumericVal</f>
        <v/>
      </c>
      <c r="F134" s="152">
        <f>ErrMsg.NumericVal</f>
        <v/>
      </c>
      <c r="G134" s="152">
        <f>ErrMsg.NumericVal</f>
        <v/>
      </c>
      <c r="H134" s="152">
        <f>ErrMsg.NumericVal</f>
        <v/>
      </c>
    </row>
    <row r="135" ht="34" customHeight="1" s="486">
      <c r="A135" s="151" t="inlineStr">
        <is>
          <t>Validation Rule3</t>
        </is>
      </c>
      <c r="B135" s="152" t="n"/>
      <c r="C135" s="151" t="inlineStr">
        <is>
          <t>validateDateBtwnRtnPeriod(AgrLandDed.ListW,"B")</t>
        </is>
      </c>
      <c r="D135" s="152" t="n"/>
      <c r="E135" s="152" t="n"/>
      <c r="F135" s="152" t="n"/>
      <c r="G135" s="152" t="inlineStr">
        <is>
          <t>validateDedcE1_3(AgrLandDed.ListW)</t>
        </is>
      </c>
    </row>
    <row r="136" ht="51" customHeight="1" s="486">
      <c r="A136" s="151" t="inlineStr">
        <is>
          <t>Error Message</t>
        </is>
      </c>
      <c r="B136" s="152" t="n"/>
      <c r="C136" s="151">
        <f>ErrMsg.WithinRtnPeriod</f>
        <v/>
      </c>
      <c r="D136" s="152" t="n"/>
      <c r="E136" s="152" t="n"/>
      <c r="F136" s="152" t="n"/>
      <c r="G136" s="152" t="inlineStr">
        <is>
          <t>The sum of values A and B must be greater than or equal to sum of values C and D.</t>
        </is>
      </c>
    </row>
    <row r="137">
      <c r="B137" s="152" t="n"/>
    </row>
    <row r="138" ht="34" customFormat="1" customHeight="1" s="149">
      <c r="A138" s="149" t="inlineStr">
        <is>
          <t>E1_IDA_CA</t>
        </is>
      </c>
      <c r="B138" s="252" t="inlineStr">
        <is>
          <t>Item</t>
        </is>
      </c>
      <c r="C138" s="252" t="inlineStr">
        <is>
          <t>Item Description</t>
        </is>
      </c>
      <c r="D138" s="252" t="inlineStr">
        <is>
          <t>Serial Number (If Applicable)</t>
        </is>
      </c>
      <c r="E138" s="252" t="inlineStr">
        <is>
          <t>Date of First Use</t>
        </is>
      </c>
      <c r="F138" s="252" t="inlineStr">
        <is>
          <t>Rate</t>
        </is>
      </c>
      <c r="G138" s="252" t="inlineStr">
        <is>
          <t xml:space="preserve">Actual Cost </t>
        </is>
      </c>
      <c r="H138" s="252" t="inlineStr">
        <is>
          <t xml:space="preserve">Disposal at Cost during the Year </t>
        </is>
      </c>
      <c r="I138" s="252" t="inlineStr">
        <is>
          <t xml:space="preserve">Total Cost (Net of Disposal)  </t>
        </is>
      </c>
      <c r="J138" s="252" t="inlineStr">
        <is>
          <t xml:space="preserve">Wear and Tear Deduction for the Year </t>
        </is>
      </c>
      <c r="R138" s="149" t="inlineStr">
        <is>
          <t>Section E1 Part 4 : Deductions in respect of Mining (Self)</t>
        </is>
      </c>
    </row>
    <row r="139" ht="17" customHeight="1" s="486">
      <c r="A139" s="151" t="inlineStr">
        <is>
          <t>Mandatory</t>
        </is>
      </c>
      <c r="B139" s="250" t="inlineStr">
        <is>
          <t>Y</t>
        </is>
      </c>
      <c r="C139" s="250" t="inlineStr">
        <is>
          <t>Y</t>
        </is>
      </c>
      <c r="D139" s="250" t="inlineStr">
        <is>
          <t>N</t>
        </is>
      </c>
      <c r="E139" s="250" t="inlineStr">
        <is>
          <t>Y</t>
        </is>
      </c>
      <c r="F139" s="250" t="inlineStr">
        <is>
          <t>Y</t>
        </is>
      </c>
      <c r="G139" s="250" t="inlineStr">
        <is>
          <t>Y</t>
        </is>
      </c>
      <c r="H139" s="250" t="inlineStr">
        <is>
          <t>Y</t>
        </is>
      </c>
      <c r="I139" s="250" t="inlineStr">
        <is>
          <t>Y</t>
        </is>
      </c>
      <c r="J139" s="250" t="inlineStr">
        <is>
          <t>Y</t>
        </is>
      </c>
    </row>
    <row r="140" ht="32" customHeight="1" s="486">
      <c r="A140" s="151" t="inlineStr">
        <is>
          <t>Validation Rule1</t>
        </is>
      </c>
      <c r="B140" s="250" t="inlineStr">
        <is>
          <t>isMandatory(DeprIntengAst.ListS,B139,"A")</t>
        </is>
      </c>
      <c r="C140" s="250" t="inlineStr">
        <is>
          <t>isMandatory(DeprIntengAst.ListS,C139,"C")</t>
        </is>
      </c>
      <c r="D140" s="250" t="inlineStr">
        <is>
          <t>isMandatory(DeprIntengAst.ListS,D139,"D")</t>
        </is>
      </c>
      <c r="E140" s="250" t="inlineStr">
        <is>
          <t>isMandatory(DeprIntengAst.ListS,E139,"E")</t>
        </is>
      </c>
      <c r="F140" s="250" t="inlineStr">
        <is>
          <t>isMandatory(DeprIntengAst.ListS,F139,"F")</t>
        </is>
      </c>
      <c r="G140" s="250" t="inlineStr">
        <is>
          <t>isMandatory(DeprIntengAst.ListS,G139,"G")</t>
        </is>
      </c>
      <c r="H140" s="250" t="inlineStr">
        <is>
          <t>isMandatory(DeprIntengAst.ListS,H139,"H")</t>
        </is>
      </c>
      <c r="I140" s="250" t="inlineStr">
        <is>
          <t>isMandatory(DeprIntengAst.ListS,I139,"I")</t>
        </is>
      </c>
      <c r="J140" s="250" t="inlineStr">
        <is>
          <t>isMandatory(DeprIntengAst.ListS,J139,"J")</t>
        </is>
      </c>
    </row>
    <row r="141" ht="32" customHeight="1" s="486">
      <c r="A141" s="151" t="inlineStr">
        <is>
          <t>Error Message</t>
        </is>
      </c>
      <c r="B141" s="250">
        <f>CONCATENATE(B138,ErrMsg.Mandatory)</f>
        <v/>
      </c>
      <c r="C141" s="250">
        <f>CONCATENATE(C138,ErrMsg.Mandatory)</f>
        <v/>
      </c>
      <c r="D141" s="250">
        <f>CONCATENATE(D138,ErrMsg.Mandatory)</f>
        <v/>
      </c>
      <c r="E141" s="250">
        <f>CONCATENATE(E138,ErrMsg.Mandatory)</f>
        <v/>
      </c>
      <c r="F141" s="250">
        <f>CONCATENATE(F138,ErrMsg.Mandatory)</f>
        <v/>
      </c>
      <c r="G141" s="250">
        <f>CONCATENATE(G138,ErrMsg.Mandatory)</f>
        <v/>
      </c>
      <c r="H141" s="250">
        <f>CONCATENATE(H138,ErrMsg.Mandatory)</f>
        <v/>
      </c>
      <c r="I141" s="250">
        <f>CONCATENATE(I138,ErrMsg.Mandatory)</f>
        <v/>
      </c>
      <c r="J141" s="250">
        <f>CONCATENATE(J138,ErrMsg.Mandatory)</f>
        <v/>
      </c>
    </row>
    <row r="142" ht="32" customHeight="1" s="486">
      <c r="A142" s="151" t="inlineStr">
        <is>
          <t>Validation Rule2</t>
        </is>
      </c>
      <c r="B142" s="250" t="inlineStr">
        <is>
          <t>validateAlphaNumeric(DeprIntengAst.ListS,"A")</t>
        </is>
      </c>
      <c r="C142" s="250" t="inlineStr">
        <is>
          <t>validateAlphaNumeric(DeprIntengAst.ListS,"C")</t>
        </is>
      </c>
      <c r="D142" s="250" t="inlineStr">
        <is>
          <t>validateAlphaNumericOnly(DeprIntengAst.ListS,"D")</t>
        </is>
      </c>
      <c r="E142" s="250" t="inlineStr">
        <is>
          <t>validateDate(DeprIntengAst.ListS,"E")</t>
        </is>
      </c>
      <c r="F142" s="250" t="inlineStr">
        <is>
          <t>validateCurrencyFormat(DeprIntengAst.ListS,"F")</t>
        </is>
      </c>
      <c r="G142" s="250" t="inlineStr">
        <is>
          <t>validateCurrencyFormat(DeprIntengAst.ListS,"G")</t>
        </is>
      </c>
      <c r="H142" s="250" t="inlineStr">
        <is>
          <t>validateCurrencyFormat(DeprIntengAst.ListS,"H")</t>
        </is>
      </c>
      <c r="I142" s="250" t="inlineStr">
        <is>
          <t>validateCurrencyFormat(DeprIntengAst.ListS,"I")</t>
        </is>
      </c>
      <c r="J142" s="250" t="inlineStr">
        <is>
          <t>validateCurrencyFormat(DeprIntengAst.ListS,"J")</t>
        </is>
      </c>
    </row>
    <row r="143" ht="48" customHeight="1" s="486">
      <c r="A143" s="151" t="inlineStr">
        <is>
          <t>Error Message</t>
        </is>
      </c>
      <c r="B143" s="251">
        <f>ErrMsg.alphanumeric</f>
        <v/>
      </c>
      <c r="C143" s="251">
        <f>ErrMsg.alphanumeric</f>
        <v/>
      </c>
      <c r="D143" s="251">
        <f>ErrMsg.alphanumericonly</f>
        <v/>
      </c>
      <c r="E143" s="250">
        <f>CONCATENATE("Please enter ",E138,ErrMsg.DateFormat)</f>
        <v/>
      </c>
      <c r="F143" s="251">
        <f>ErrMsg.NumericVal</f>
        <v/>
      </c>
      <c r="G143" s="251">
        <f>ErrMsg.NumericVal</f>
        <v/>
      </c>
      <c r="H143" s="251">
        <f>ErrMsg.NumericVal</f>
        <v/>
      </c>
      <c r="I143" s="251">
        <f>ErrMsg.NumericVal</f>
        <v/>
      </c>
      <c r="J143" s="251">
        <f>ErrMsg.NumericVal</f>
        <v/>
      </c>
    </row>
    <row r="144" ht="32" customHeight="1" s="486">
      <c r="A144" s="151" t="inlineStr">
        <is>
          <t>Validation Rule3</t>
        </is>
      </c>
      <c r="B144" s="251" t="n"/>
      <c r="C144" s="581" t="n"/>
      <c r="D144" s="251" t="n"/>
      <c r="E144" s="250" t="inlineStr">
        <is>
          <t>validateDateBeforeRtnPeriodEnd(DeprIntengAst.ListS,"E")</t>
        </is>
      </c>
      <c r="F144" s="251" t="n"/>
      <c r="G144" s="250" t="n"/>
      <c r="H144" s="251" t="inlineStr">
        <is>
          <t>validateDispCostE1_4(DeprIntengAst.ListS)</t>
        </is>
      </c>
      <c r="I144" s="251" t="n"/>
      <c r="J144" s="156" t="n"/>
    </row>
    <row r="145" ht="32" customHeight="1" s="486">
      <c r="A145" s="151" t="inlineStr">
        <is>
          <t>Error Message</t>
        </is>
      </c>
      <c r="B145" s="251" t="n"/>
      <c r="C145" s="581" t="n"/>
      <c r="D145" s="251" t="n"/>
      <c r="E145" s="250" t="inlineStr">
        <is>
          <t>Date of First Use should be before or within Return period.</t>
        </is>
      </c>
      <c r="F145" s="251" t="n"/>
      <c r="G145" s="250" t="n"/>
      <c r="H145" s="251" t="inlineStr">
        <is>
          <t>Disposal at Cost during the Year should be less than or equal to Actual Cost.</t>
        </is>
      </c>
      <c r="I145" s="251" t="n"/>
      <c r="J145" s="156" t="n"/>
    </row>
    <row r="147" ht="34" customFormat="1" customHeight="1" s="149">
      <c r="A147" s="149" t="inlineStr">
        <is>
          <t>E1_IDA_CA</t>
        </is>
      </c>
      <c r="B147" s="252" t="inlineStr">
        <is>
          <t>Item</t>
        </is>
      </c>
      <c r="C147" s="252" t="inlineStr">
        <is>
          <t>Item Description</t>
        </is>
      </c>
      <c r="D147" s="252" t="inlineStr">
        <is>
          <t>Serial Number (If Applicable)</t>
        </is>
      </c>
      <c r="E147" s="252" t="inlineStr">
        <is>
          <t>Date of First Use</t>
        </is>
      </c>
      <c r="F147" s="252" t="inlineStr">
        <is>
          <t>Rate</t>
        </is>
      </c>
      <c r="G147" s="252" t="inlineStr">
        <is>
          <t xml:space="preserve">Actual Cost </t>
        </is>
      </c>
      <c r="H147" s="252" t="inlineStr">
        <is>
          <t xml:space="preserve">Disposal at Cost during the Year </t>
        </is>
      </c>
      <c r="I147" s="252" t="inlineStr">
        <is>
          <t xml:space="preserve">Total Cost (Net of Disposal)  </t>
        </is>
      </c>
      <c r="J147" s="252" t="inlineStr">
        <is>
          <t xml:space="preserve">Wear and Tear Deduction for the Year </t>
        </is>
      </c>
      <c r="R147" s="149" t="inlineStr">
        <is>
          <t>Section E1 Part 4 : Deductions in respect of Mining (Wife)</t>
        </is>
      </c>
    </row>
    <row r="148" ht="17" customHeight="1" s="486">
      <c r="A148" s="151" t="inlineStr">
        <is>
          <t>Mandatory</t>
        </is>
      </c>
      <c r="B148" s="250" t="inlineStr">
        <is>
          <t>Y</t>
        </is>
      </c>
      <c r="C148" s="250" t="inlineStr">
        <is>
          <t>Y</t>
        </is>
      </c>
      <c r="D148" s="250" t="inlineStr">
        <is>
          <t>N</t>
        </is>
      </c>
      <c r="E148" s="250" t="inlineStr">
        <is>
          <t>Y</t>
        </is>
      </c>
      <c r="F148" s="250" t="inlineStr">
        <is>
          <t>Y</t>
        </is>
      </c>
      <c r="G148" s="250" t="inlineStr">
        <is>
          <t>Y</t>
        </is>
      </c>
      <c r="H148" s="250" t="inlineStr">
        <is>
          <t>Y</t>
        </is>
      </c>
      <c r="I148" s="250" t="inlineStr">
        <is>
          <t>Y</t>
        </is>
      </c>
      <c r="J148" s="250" t="inlineStr">
        <is>
          <t>Y</t>
        </is>
      </c>
    </row>
    <row r="149" ht="32" customHeight="1" s="486">
      <c r="A149" s="151" t="inlineStr">
        <is>
          <t>Validation Rule1</t>
        </is>
      </c>
      <c r="B149" s="250" t="inlineStr">
        <is>
          <t>isMandatory(DeprIntengAst.ListW,B148,"A")</t>
        </is>
      </c>
      <c r="C149" s="250" t="inlineStr">
        <is>
          <t>isMandatory(DeprIntengAst.ListW,C148,"C")</t>
        </is>
      </c>
      <c r="D149" s="250" t="inlineStr">
        <is>
          <t>isMandatory(DeprIntengAst.ListW,D148,"D")</t>
        </is>
      </c>
      <c r="E149" s="250" t="inlineStr">
        <is>
          <t>isMandatory(DeprIntengAst.ListW,E148,"E")</t>
        </is>
      </c>
      <c r="F149" s="250" t="inlineStr">
        <is>
          <t>isMandatory(DeprIntengAst.ListW,F148,"F")</t>
        </is>
      </c>
      <c r="G149" s="250" t="inlineStr">
        <is>
          <t>isMandatory(DeprIntengAst.ListW,G148,"G")</t>
        </is>
      </c>
      <c r="H149" s="250" t="inlineStr">
        <is>
          <t>isMandatory(DeprIntengAst.ListW,H148,"H")</t>
        </is>
      </c>
      <c r="I149" s="250" t="inlineStr">
        <is>
          <t>isMandatory(DeprIntengAst.ListW,I148,"I")</t>
        </is>
      </c>
      <c r="J149" s="250" t="inlineStr">
        <is>
          <t>isMandatory(DeprIntengAst.ListW,J148,"J")</t>
        </is>
      </c>
    </row>
    <row r="150" ht="32" customHeight="1" s="486">
      <c r="A150" s="151" t="inlineStr">
        <is>
          <t>Error Message</t>
        </is>
      </c>
      <c r="B150" s="250">
        <f>CONCATENATE(B147,ErrMsg.Mandatory)</f>
        <v/>
      </c>
      <c r="C150" s="250">
        <f>CONCATENATE(C147,ErrMsg.Mandatory)</f>
        <v/>
      </c>
      <c r="D150" s="250">
        <f>CONCATENATE(D147,ErrMsg.Mandatory)</f>
        <v/>
      </c>
      <c r="E150" s="250">
        <f>CONCATENATE(E147,ErrMsg.Mandatory)</f>
        <v/>
      </c>
      <c r="F150" s="250">
        <f>CONCATENATE(F147,ErrMsg.Mandatory)</f>
        <v/>
      </c>
      <c r="G150" s="250">
        <f>CONCATENATE(G147,ErrMsg.Mandatory)</f>
        <v/>
      </c>
      <c r="H150" s="250">
        <f>CONCATENATE(H147,ErrMsg.Mandatory)</f>
        <v/>
      </c>
      <c r="I150" s="250">
        <f>CONCATENATE(I147,ErrMsg.Mandatory)</f>
        <v/>
      </c>
      <c r="J150" s="250">
        <f>CONCATENATE(J147,ErrMsg.Mandatory)</f>
        <v/>
      </c>
    </row>
    <row r="151" ht="32" customHeight="1" s="486">
      <c r="A151" s="151" t="inlineStr">
        <is>
          <t>Validation Rule2</t>
        </is>
      </c>
      <c r="B151" s="250" t="inlineStr">
        <is>
          <t>validateAlphaNumeric(DeprIntengAst.ListW,"A")</t>
        </is>
      </c>
      <c r="C151" s="250" t="inlineStr">
        <is>
          <t>validateAlphaNumeric(DeprIntengAst.ListW,"C")</t>
        </is>
      </c>
      <c r="D151" s="250" t="inlineStr">
        <is>
          <t>validateAlphaNumericOnly(DeprIntengAst.ListW,"D")</t>
        </is>
      </c>
      <c r="E151" s="250" t="inlineStr">
        <is>
          <t>validateDate(DeprIntengAst.ListW,"E")</t>
        </is>
      </c>
      <c r="F151" s="250" t="inlineStr">
        <is>
          <t>validateCurrencyFormat(DeprIntengAst.ListW,"F")</t>
        </is>
      </c>
      <c r="G151" s="250" t="inlineStr">
        <is>
          <t>validateCurrencyFormat(DeprIntengAst.ListW,"G")</t>
        </is>
      </c>
      <c r="H151" s="250" t="inlineStr">
        <is>
          <t>validateCurrencyFormat(DeprIntengAst.ListW,"H")</t>
        </is>
      </c>
      <c r="I151" s="250" t="inlineStr">
        <is>
          <t>validateCurrencyFormat(DeprIntengAst.ListW,"I")</t>
        </is>
      </c>
      <c r="J151" s="250" t="inlineStr">
        <is>
          <t>validateCurrencyFormat(DeprIntengAst.ListW,"J")</t>
        </is>
      </c>
    </row>
    <row r="152" ht="48" customHeight="1" s="486">
      <c r="A152" s="151" t="inlineStr">
        <is>
          <t>Error Message</t>
        </is>
      </c>
      <c r="B152" s="251">
        <f>ErrMsg.alphanumeric</f>
        <v/>
      </c>
      <c r="C152" s="251">
        <f>ErrMsg.alphanumeric</f>
        <v/>
      </c>
      <c r="D152" s="251">
        <f>ErrMsg.alphanumericonly</f>
        <v/>
      </c>
      <c r="E152" s="250">
        <f>CONCATENATE("Please enter ",E147,ErrMsg.DateFormat)</f>
        <v/>
      </c>
      <c r="F152" s="251">
        <f>ErrMsg.NumericVal</f>
        <v/>
      </c>
      <c r="G152" s="251">
        <f>ErrMsg.NumericVal</f>
        <v/>
      </c>
      <c r="H152" s="251">
        <f>ErrMsg.NumericVal</f>
        <v/>
      </c>
      <c r="I152" s="251">
        <f>ErrMsg.NumericVal</f>
        <v/>
      </c>
      <c r="J152" s="251">
        <f>ErrMsg.NumericVal</f>
        <v/>
      </c>
    </row>
    <row r="153" ht="32" customHeight="1" s="486">
      <c r="A153" s="151" t="inlineStr">
        <is>
          <t>Validation Rule3</t>
        </is>
      </c>
      <c r="B153" s="251" t="n"/>
      <c r="C153" s="581" t="n"/>
      <c r="D153" s="251" t="n"/>
      <c r="E153" s="250" t="inlineStr">
        <is>
          <t>validateDateBeforeRtnPeriodEnd(DeprIntengAst.ListW,"E")</t>
        </is>
      </c>
      <c r="F153" s="251" t="n"/>
      <c r="G153" s="250" t="n"/>
      <c r="H153" s="251" t="inlineStr">
        <is>
          <t>validateDispCostE1_4(DeprIntengAst.ListW)</t>
        </is>
      </c>
      <c r="I153" s="251" t="n"/>
      <c r="J153" s="156" t="n"/>
    </row>
    <row r="154" ht="32" customHeight="1" s="486">
      <c r="A154" s="151" t="inlineStr">
        <is>
          <t>Error Message</t>
        </is>
      </c>
      <c r="B154" s="251" t="n"/>
      <c r="C154" s="581" t="n"/>
      <c r="D154" s="251" t="n"/>
      <c r="E154" s="250" t="inlineStr">
        <is>
          <t>Date of First Use should be before or within Return period.</t>
        </is>
      </c>
      <c r="F154" s="251" t="n"/>
      <c r="G154" s="250" t="n"/>
      <c r="H154" s="251" t="inlineStr">
        <is>
          <t>Disposal at Cost during the Year should be less than or equal to Actual Cost.</t>
        </is>
      </c>
      <c r="I154" s="251" t="n"/>
      <c r="J154" s="156" t="n"/>
    </row>
    <row r="156" ht="34" customFormat="1" customHeight="1" s="150">
      <c r="A156" s="149" t="inlineStr">
        <is>
          <t>A_Basic_Info</t>
        </is>
      </c>
      <c r="B156" s="149" t="inlineStr">
        <is>
          <t>PIN of Tenant (If Available)</t>
        </is>
      </c>
      <c r="C156" s="149" t="inlineStr">
        <is>
          <t>Name of Tenant</t>
        </is>
      </c>
      <c r="D156" s="149" t="inlineStr">
        <is>
          <t>L.R.Number</t>
        </is>
      </c>
      <c r="E156" s="149" t="inlineStr">
        <is>
          <t>Building</t>
        </is>
      </c>
      <c r="F156" s="149" t="inlineStr">
        <is>
          <t>Street / Road</t>
        </is>
      </c>
      <c r="G156" s="149" t="inlineStr">
        <is>
          <t>City/Town</t>
        </is>
      </c>
      <c r="H156" s="149" t="inlineStr">
        <is>
          <t>County</t>
        </is>
      </c>
      <c r="I156" s="149" t="inlineStr">
        <is>
          <t>District</t>
        </is>
      </c>
      <c r="J156" s="149" t="inlineStr">
        <is>
          <t>Tax Area / Locality</t>
        </is>
      </c>
      <c r="K156" s="149" t="inlineStr">
        <is>
          <t>Descriptive Address</t>
        </is>
      </c>
      <c r="L156" s="149" t="inlineStr">
        <is>
          <t>P.O.Box</t>
        </is>
      </c>
      <c r="M156" s="149" t="inlineStr">
        <is>
          <t>Post Office Name</t>
        </is>
      </c>
      <c r="N156" s="149" t="inlineStr">
        <is>
          <t>Postal Code</t>
        </is>
      </c>
      <c r="O156" s="149" t="inlineStr">
        <is>
          <t>Date From</t>
        </is>
      </c>
      <c r="P156" s="149" t="inlineStr">
        <is>
          <t>Date To</t>
        </is>
      </c>
      <c r="Q156" s="149" t="inlineStr">
        <is>
          <t>Amount of Gross Rental Income (Ksh)</t>
        </is>
      </c>
      <c r="R156" s="149" t="inlineStr">
        <is>
          <t>Section A Part 5 : Tenant Details (Self)</t>
        </is>
      </c>
    </row>
    <row r="157" ht="17" customHeight="1" s="486">
      <c r="A157" s="151" t="inlineStr">
        <is>
          <t>Mandatory</t>
        </is>
      </c>
      <c r="B157" s="151" t="inlineStr">
        <is>
          <t>N</t>
        </is>
      </c>
      <c r="C157" s="151" t="inlineStr">
        <is>
          <t>Y</t>
        </is>
      </c>
      <c r="D157" s="151" t="inlineStr">
        <is>
          <t>Y</t>
        </is>
      </c>
      <c r="E157" s="151" t="inlineStr">
        <is>
          <t>Y</t>
        </is>
      </c>
      <c r="F157" s="151" t="inlineStr">
        <is>
          <t>Y</t>
        </is>
      </c>
      <c r="G157" s="151" t="inlineStr">
        <is>
          <t>Y</t>
        </is>
      </c>
      <c r="H157" s="151" t="inlineStr">
        <is>
          <t>Y</t>
        </is>
      </c>
      <c r="I157" s="151" t="inlineStr">
        <is>
          <t>Y</t>
        </is>
      </c>
      <c r="J157" s="151" t="inlineStr">
        <is>
          <t>Y</t>
        </is>
      </c>
      <c r="K157" s="151" t="inlineStr">
        <is>
          <t>N</t>
        </is>
      </c>
      <c r="L157" s="151" t="inlineStr">
        <is>
          <t>Y</t>
        </is>
      </c>
      <c r="M157" s="151" t="inlineStr">
        <is>
          <t>Y</t>
        </is>
      </c>
      <c r="N157" s="151" t="inlineStr">
        <is>
          <t>Y</t>
        </is>
      </c>
      <c r="O157" s="151" t="inlineStr">
        <is>
          <t>Y</t>
        </is>
      </c>
      <c r="P157" s="151" t="inlineStr">
        <is>
          <t>Y</t>
        </is>
      </c>
      <c r="Q157" s="151" t="inlineStr">
        <is>
          <t>Y</t>
        </is>
      </c>
    </row>
    <row r="158" ht="34" customHeight="1" s="486">
      <c r="A158" s="151" t="inlineStr">
        <is>
          <t>Validation Rule1</t>
        </is>
      </c>
      <c r="B158" s="151" t="inlineStr">
        <is>
          <t>isMandatory(RentalIncome.ListS,B157,"A")</t>
        </is>
      </c>
      <c r="C158" s="151" t="inlineStr">
        <is>
          <t>isMandatory(RentalIncome.ListS,C157,"B")</t>
        </is>
      </c>
      <c r="D158" s="151" t="inlineStr">
        <is>
          <t>isMandatory(RentalIncome.ListS,D157,"C")</t>
        </is>
      </c>
      <c r="E158" s="151" t="inlineStr">
        <is>
          <t>isMandatory(RentalIncome.ListS,E157,"D")</t>
        </is>
      </c>
      <c r="F158" s="151" t="inlineStr">
        <is>
          <t>isMandatory(RentalIncome.ListS,F157,"E")</t>
        </is>
      </c>
      <c r="G158" s="151" t="inlineStr">
        <is>
          <t>isMandatory(RentalIncome.ListS,G157,"F")</t>
        </is>
      </c>
      <c r="H158" s="151" t="inlineStr">
        <is>
          <t>isMandatory(RentalIncome.ListS,H157,"G")</t>
        </is>
      </c>
      <c r="I158" s="151" t="inlineStr">
        <is>
          <t>isMandatory(RentalIncome.ListS,I157,"H")</t>
        </is>
      </c>
      <c r="J158" s="151" t="inlineStr">
        <is>
          <t>isMandatory(RentalIncome.ListS,J157,"I")</t>
        </is>
      </c>
      <c r="K158" s="151" t="inlineStr">
        <is>
          <t>isMandatory(RentalIncome.ListS,K157,"J")</t>
        </is>
      </c>
      <c r="L158" s="151" t="inlineStr">
        <is>
          <t>isMandatory(RentalIncome.ListS,L157,"K")</t>
        </is>
      </c>
      <c r="M158" s="151" t="inlineStr">
        <is>
          <t>isMandatory(RentalIncome.ListS,M157,"L")</t>
        </is>
      </c>
      <c r="N158" s="151" t="inlineStr">
        <is>
          <t>isMandatory(RentalIncome.ListS,N157,"M")</t>
        </is>
      </c>
      <c r="O158" s="151" t="inlineStr">
        <is>
          <t>isMandatory(RentalIncome.ListS,O157,"N")</t>
        </is>
      </c>
      <c r="P158" s="151" t="inlineStr">
        <is>
          <t>isMandatory(RentalIncome.ListS,P157,"O")</t>
        </is>
      </c>
      <c r="Q158" s="151" t="inlineStr">
        <is>
          <t>isMandatory(RentalIncome.ListS,Q157,"P")</t>
        </is>
      </c>
    </row>
    <row r="159" ht="34" customHeight="1" s="486">
      <c r="A159" s="151" t="inlineStr">
        <is>
          <t>Error Message</t>
        </is>
      </c>
      <c r="B159" s="151">
        <f>CONCATENATE(B156,ErrMsg.Mandatory)</f>
        <v/>
      </c>
      <c r="C159" s="151">
        <f>CONCATENATE(C156,ErrMsg.Mandatory)</f>
        <v/>
      </c>
      <c r="D159" s="151">
        <f>CONCATENATE(D156,ErrMsg.Mandatory)</f>
        <v/>
      </c>
      <c r="E159" s="151">
        <f>CONCATENATE(E156,ErrMsg.Mandatory)</f>
        <v/>
      </c>
      <c r="F159" s="151">
        <f>CONCATENATE(F156,ErrMsg.Mandatory)</f>
        <v/>
      </c>
      <c r="G159" s="151">
        <f>CONCATENATE(G156,ErrMsg.Mandatory)</f>
        <v/>
      </c>
      <c r="H159" s="151">
        <f>CONCATENATE(H156,ErrMsg.Mandatory)</f>
        <v/>
      </c>
      <c r="I159" s="151">
        <f>CONCATENATE(I156,ErrMsg.Mandatory)</f>
        <v/>
      </c>
      <c r="J159" s="151">
        <f>CONCATENATE(J156,ErrMsg.Mandatory)</f>
        <v/>
      </c>
      <c r="K159" s="151">
        <f>CONCATENATE(K156,ErrMsg.Mandatory)</f>
        <v/>
      </c>
      <c r="L159" s="151">
        <f>CONCATENATE(L156,ErrMsg.Mandatory)</f>
        <v/>
      </c>
      <c r="M159" s="151">
        <f>CONCATENATE(M156,ErrMsg.Mandatory)</f>
        <v/>
      </c>
      <c r="N159" s="151">
        <f>CONCATENATE(N156,ErrMsg.Mandatory)</f>
        <v/>
      </c>
      <c r="O159" s="151">
        <f>CONCATENATE(O156,ErrMsg.Mandatory)</f>
        <v/>
      </c>
      <c r="P159" s="151">
        <f>CONCATENATE(P156,ErrMsg.Mandatory)</f>
        <v/>
      </c>
      <c r="Q159" s="151">
        <f>CONCATENATE(Q156,ErrMsg.Mandatory)</f>
        <v/>
      </c>
    </row>
    <row r="160" ht="34" customHeight="1" s="486">
      <c r="A160" s="151" t="inlineStr">
        <is>
          <t>Validation Rule2</t>
        </is>
      </c>
      <c r="B160" s="152" t="inlineStr">
        <is>
          <t>validatePIN(RentalIncome.ListS,"A")</t>
        </is>
      </c>
      <c r="C160" s="152" t="inlineStr">
        <is>
          <t>validateAlphaNumeric(RentalIncome.ListS,"B")</t>
        </is>
      </c>
      <c r="D160" s="152" t="inlineStr">
        <is>
          <t>validateAlphaNumeric(RentalIncome.ListS,"C")</t>
        </is>
      </c>
      <c r="E160" s="152" t="inlineStr">
        <is>
          <t>validateAlphaNumeric(RentalIncome.ListS,"D")</t>
        </is>
      </c>
      <c r="F160" s="152" t="inlineStr">
        <is>
          <t>validateAlphaNumeric(RentalIncome.ListS,"E")</t>
        </is>
      </c>
      <c r="G160" s="152" t="inlineStr">
        <is>
          <t>validateAlphabetOnly(RentalIncome.ListS,"F")</t>
        </is>
      </c>
      <c r="H160" s="152" t="n"/>
      <c r="I160" s="152" t="n"/>
      <c r="J160" s="152" t="n"/>
      <c r="K160" s="152" t="inlineStr">
        <is>
          <t>validateAlphaNumeric(RentalIncome.ListS,"J")</t>
        </is>
      </c>
      <c r="L160" s="152" t="inlineStr">
        <is>
          <t>validateNumericAccount(RentalIncome.ListS,"K")</t>
        </is>
      </c>
      <c r="M160" s="152" t="n"/>
      <c r="N160" s="152" t="inlineStr">
        <is>
          <t>validateNumeric(RentalIncome.ListS,"M")</t>
        </is>
      </c>
      <c r="O160" s="152" t="inlineStr">
        <is>
          <t>validateDate(RentalIncome.ListS,"N")</t>
        </is>
      </c>
      <c r="P160" s="152" t="inlineStr">
        <is>
          <t>validateDate(RentalIncome.ListS,"O")</t>
        </is>
      </c>
      <c r="Q160" s="152" t="inlineStr">
        <is>
          <t>validateNumeric(RentalIncome.ListS,"P")</t>
        </is>
      </c>
    </row>
    <row r="161" ht="51" customHeight="1" s="486">
      <c r="A161" s="151" t="inlineStr">
        <is>
          <t>Error Message</t>
        </is>
      </c>
      <c r="B161" s="152">
        <f>CONCATENATE("Please enter ",B156,ErrMsg.PinFormat)</f>
        <v/>
      </c>
      <c r="C161" s="152">
        <f>ErrMsg.alphanumeric</f>
        <v/>
      </c>
      <c r="D161" s="152">
        <f>ErrMsg.alphanumeric</f>
        <v/>
      </c>
      <c r="E161" s="152">
        <f>ErrMsg.alphanumeric</f>
        <v/>
      </c>
      <c r="F161" s="152">
        <f>ErrMsg.alphanumeric</f>
        <v/>
      </c>
      <c r="G161" s="152">
        <f>ErrMsg.Alphabet</f>
        <v/>
      </c>
      <c r="H161" s="152" t="n"/>
      <c r="I161" s="152" t="n"/>
      <c r="J161" s="152" t="n"/>
      <c r="K161" s="152">
        <f>ErrMsg.alphanumeric</f>
        <v/>
      </c>
      <c r="L161" s="152">
        <f>ErrMsg.NumericVal</f>
        <v/>
      </c>
      <c r="M161" s="152" t="n"/>
      <c r="N161" s="152">
        <f>ErrMsg.NumericVal</f>
        <v/>
      </c>
      <c r="O161" s="152" t="inlineStr">
        <is>
          <t>Please enter date in proper format</t>
        </is>
      </c>
      <c r="P161" s="152" t="inlineStr">
        <is>
          <t>Please enter date in proper format</t>
        </is>
      </c>
      <c r="Q161" s="152">
        <f>ErrMsg.NumericVal</f>
        <v/>
      </c>
    </row>
    <row r="162" ht="68" customHeight="1" s="486">
      <c r="A162" s="151" t="inlineStr">
        <is>
          <t>Validation Rule3</t>
        </is>
      </c>
      <c r="B162" s="152" t="inlineStr">
        <is>
          <t>checkPINDuplication("RentalIncome.ListS",RentalIncome.ListS,"A")</t>
        </is>
      </c>
      <c r="C162" s="152" t="n"/>
      <c r="D162" s="152" t="n"/>
      <c r="E162" s="152" t="n"/>
      <c r="F162" s="152" t="n"/>
      <c r="G162" s="152" t="n"/>
      <c r="H162" s="152" t="n"/>
      <c r="I162" s="152" t="n"/>
      <c r="J162" s="152" t="n"/>
      <c r="K162" s="152" t="n"/>
      <c r="L162" s="152" t="n"/>
      <c r="M162" s="152" t="n"/>
      <c r="O162" s="151" t="inlineStr">
        <is>
          <t>validateDateBtwnRtnPeriod(RentalIncome.ListS,"N")</t>
        </is>
      </c>
      <c r="P162" s="151" t="inlineStr">
        <is>
          <t>validateDateBtwnRtnPeriod(RentalIncome.ListS,"O")</t>
        </is>
      </c>
      <c r="Q162" s="152" t="inlineStr">
        <is>
          <t>IF(RetInf.DeclareSelfBusIncome="Yes",compareValues(RentalIncome.ListSTO,PLA.GrossTurnoverBPRentalToS),"NE")</t>
        </is>
      </c>
    </row>
    <row r="163" ht="85" customHeight="1" s="486">
      <c r="A163" s="151" t="inlineStr">
        <is>
          <t>Error Message</t>
        </is>
      </c>
      <c r="B163" s="152">
        <f>CONCATENATE(B156,ErrMsg.CompareToTaxPayerPin)</f>
        <v/>
      </c>
      <c r="C163" s="152" t="n"/>
      <c r="D163" s="152" t="n"/>
      <c r="E163" s="152" t="n"/>
      <c r="F163" s="152" t="n"/>
      <c r="G163" s="152" t="n"/>
      <c r="H163" s="152" t="n"/>
      <c r="I163" s="152" t="n"/>
      <c r="J163" s="152" t="n"/>
      <c r="K163" s="152" t="n"/>
      <c r="L163" s="152" t="n"/>
      <c r="M163" s="152" t="n"/>
      <c r="O163" s="151">
        <f>ErrMsg.WithinRtnPeriod</f>
        <v/>
      </c>
      <c r="P163" s="151">
        <f>ErrMsg.WithinRtnPeriod</f>
        <v/>
      </c>
      <c r="Q163" s="152" t="inlineStr">
        <is>
          <t>The  Amount of Gross Rental Income must be equal to "Gross Turnover of Business or Profession of Rental" in B_Profit_Loss_Account_Self.</t>
        </is>
      </c>
    </row>
    <row r="165" ht="34" customFormat="1" customHeight="1" s="150">
      <c r="A165" s="149" t="inlineStr">
        <is>
          <t>A_Basic_Info</t>
        </is>
      </c>
      <c r="B165" s="149" t="inlineStr">
        <is>
          <t>PIN of Tenant (If Available)</t>
        </is>
      </c>
      <c r="C165" s="149" t="inlineStr">
        <is>
          <t>Name of Tenant</t>
        </is>
      </c>
      <c r="D165" s="149" t="inlineStr">
        <is>
          <t>L.R.Number</t>
        </is>
      </c>
      <c r="E165" s="149" t="inlineStr">
        <is>
          <t>Building</t>
        </is>
      </c>
      <c r="F165" s="149" t="inlineStr">
        <is>
          <t>Street / Road</t>
        </is>
      </c>
      <c r="G165" s="149" t="inlineStr">
        <is>
          <t>City/Town</t>
        </is>
      </c>
      <c r="H165" s="149" t="inlineStr">
        <is>
          <t>County</t>
        </is>
      </c>
      <c r="I165" s="149" t="inlineStr">
        <is>
          <t>District</t>
        </is>
      </c>
      <c r="J165" s="149" t="inlineStr">
        <is>
          <t>Tax Area / Locality</t>
        </is>
      </c>
      <c r="K165" s="149" t="inlineStr">
        <is>
          <t>Descriptive Address</t>
        </is>
      </c>
      <c r="L165" s="149" t="inlineStr">
        <is>
          <t>P.O.Box</t>
        </is>
      </c>
      <c r="M165" s="149" t="inlineStr">
        <is>
          <t>Post Office Name</t>
        </is>
      </c>
      <c r="N165" s="149" t="inlineStr">
        <is>
          <t>Postal Code</t>
        </is>
      </c>
      <c r="O165" s="149" t="inlineStr">
        <is>
          <t>Date From</t>
        </is>
      </c>
      <c r="P165" s="149" t="inlineStr">
        <is>
          <t>Date To</t>
        </is>
      </c>
      <c r="Q165" s="149" t="inlineStr">
        <is>
          <t>Amount of Gross Rental Income (Ksh)</t>
        </is>
      </c>
      <c r="R165" s="149" t="inlineStr">
        <is>
          <t>Section A Part 5 : Tenant Details (Wife)</t>
        </is>
      </c>
    </row>
    <row r="166" ht="17" customHeight="1" s="486">
      <c r="A166" s="151" t="inlineStr">
        <is>
          <t>Mandatory</t>
        </is>
      </c>
      <c r="B166" s="151" t="inlineStr">
        <is>
          <t>N</t>
        </is>
      </c>
      <c r="C166" s="151" t="inlineStr">
        <is>
          <t>Y</t>
        </is>
      </c>
      <c r="D166" s="151" t="inlineStr">
        <is>
          <t>Y</t>
        </is>
      </c>
      <c r="E166" s="151" t="inlineStr">
        <is>
          <t>Y</t>
        </is>
      </c>
      <c r="F166" s="151" t="inlineStr">
        <is>
          <t>Y</t>
        </is>
      </c>
      <c r="G166" s="151" t="inlineStr">
        <is>
          <t>Y</t>
        </is>
      </c>
      <c r="H166" s="151" t="inlineStr">
        <is>
          <t>Y</t>
        </is>
      </c>
      <c r="I166" s="151" t="inlineStr">
        <is>
          <t>Y</t>
        </is>
      </c>
      <c r="J166" s="151" t="inlineStr">
        <is>
          <t>Y</t>
        </is>
      </c>
      <c r="K166" s="151" t="inlineStr">
        <is>
          <t>N</t>
        </is>
      </c>
      <c r="L166" s="151" t="inlineStr">
        <is>
          <t>Y</t>
        </is>
      </c>
      <c r="M166" s="151" t="inlineStr">
        <is>
          <t>Y</t>
        </is>
      </c>
      <c r="N166" s="151" t="inlineStr">
        <is>
          <t>Y</t>
        </is>
      </c>
      <c r="O166" s="151" t="inlineStr">
        <is>
          <t>Y</t>
        </is>
      </c>
      <c r="P166" s="151" t="inlineStr">
        <is>
          <t>Y</t>
        </is>
      </c>
      <c r="Q166" s="151" t="inlineStr">
        <is>
          <t>Y</t>
        </is>
      </c>
    </row>
    <row r="167" ht="51" customHeight="1" s="486">
      <c r="A167" s="151" t="inlineStr">
        <is>
          <t>Validation Rule1</t>
        </is>
      </c>
      <c r="B167" s="151" t="inlineStr">
        <is>
          <t>IF(RetInf.DeclareWifeIncome="Yes",isMandatory(RentalIncome.ListW,B166,"A"),"NE")</t>
        </is>
      </c>
      <c r="C167" s="151" t="inlineStr">
        <is>
          <t>IF(RetInf.DeclareWifeIncome="Yes",isMandatory(RentalIncome.ListW,C166,"B"),"NE")</t>
        </is>
      </c>
      <c r="D167" s="151" t="inlineStr">
        <is>
          <t>IF(RetInf.DeclareWifeIncome="Yes",isMandatory(RentalIncome.ListW,D166,"C"),"NE")</t>
        </is>
      </c>
      <c r="E167" s="151" t="inlineStr">
        <is>
          <t>IF(RetInf.DeclareWifeIncome="Yes",isMandatory(RentalIncome.ListW,E166,"D"),"NE")</t>
        </is>
      </c>
      <c r="F167" s="151" t="inlineStr">
        <is>
          <t>IF(RetInf.DeclareWifeIncome="Yes",isMandatory(RentalIncome.ListW,F166,"E"),"NE")</t>
        </is>
      </c>
      <c r="G167" s="151" t="inlineStr">
        <is>
          <t>IF(RetInf.DeclareWifeIncome="Yes",isMandatory(RentalIncome.ListW,G166,"F"),"NE")</t>
        </is>
      </c>
      <c r="H167" s="151" t="inlineStr">
        <is>
          <t>IF(RetInf.DeclareWifeIncome="Yes",isMandatory(RentalIncome.ListW,H166,"G"),"NE")</t>
        </is>
      </c>
      <c r="I167" s="151" t="inlineStr">
        <is>
          <t>IF(RetInf.DeclareWifeIncome="Yes",isMandatory(RentalIncome.ListW,I166,"H"),"NE")</t>
        </is>
      </c>
      <c r="J167" s="151" t="inlineStr">
        <is>
          <t>IF(RetInf.DeclareWifeIncome="Yes",isMandatory(RentalIncome.ListW,J166,"I"),"NE")</t>
        </is>
      </c>
      <c r="K167" s="151" t="inlineStr">
        <is>
          <t>IF(RetInf.DeclareWifeIncome="Yes",isMandatory(RentalIncome.ListW,K166,"J"),"NE")</t>
        </is>
      </c>
      <c r="L167" s="151" t="inlineStr">
        <is>
          <t>IF(RetInf.DeclareWifeIncome="Yes",isMandatory(RentalIncome.ListW,L166,"K"),"NE")</t>
        </is>
      </c>
      <c r="M167" s="151" t="inlineStr">
        <is>
          <t>IF(RetInf.DeclareWifeIncome="Yes",isMandatory(RentalIncome.ListW,M166,"L"),"NE")</t>
        </is>
      </c>
      <c r="N167" s="151" t="inlineStr">
        <is>
          <t>IF(RetInf.DeclareWifeIncome="Yes",isMandatory(RentalIncome.ListW,N166,"M"),"NE")</t>
        </is>
      </c>
      <c r="O167" s="151" t="inlineStr">
        <is>
          <t>IF(RetInf.DeclareWifeIncome="Yes",isMandatory(RentalIncome.ListW,O166,"N"),"NE")</t>
        </is>
      </c>
      <c r="P167" s="151" t="inlineStr">
        <is>
          <t>IF(RetInf.DeclareWifeIncome="Yes",isMandatory(RentalIncome.ListW,P166,"O"),"NE")</t>
        </is>
      </c>
      <c r="Q167" s="151" t="inlineStr">
        <is>
          <t>IF(RetInf.DeclareWifeIncome="Yes",isMandatory(RentalIncome.ListW,Q166,"P"),"NE")</t>
        </is>
      </c>
    </row>
    <row r="168" ht="34" customHeight="1" s="486">
      <c r="A168" s="151" t="inlineStr">
        <is>
          <t>Error Message</t>
        </is>
      </c>
      <c r="B168" s="151">
        <f>CONCATENATE(B165,ErrMsg.Mandatory)</f>
        <v/>
      </c>
      <c r="C168" s="151">
        <f>CONCATENATE(C165,ErrMsg.Mandatory)</f>
        <v/>
      </c>
      <c r="D168" s="151">
        <f>CONCATENATE(D165,ErrMsg.Mandatory)</f>
        <v/>
      </c>
      <c r="E168" s="151">
        <f>CONCATENATE(E165,ErrMsg.Mandatory)</f>
        <v/>
      </c>
      <c r="F168" s="151">
        <f>CONCATENATE(F165,ErrMsg.Mandatory)</f>
        <v/>
      </c>
      <c r="G168" s="151">
        <f>CONCATENATE(G165,ErrMsg.Mandatory)</f>
        <v/>
      </c>
      <c r="H168" s="151">
        <f>CONCATENATE(H165,ErrMsg.Mandatory)</f>
        <v/>
      </c>
      <c r="I168" s="151">
        <f>CONCATENATE(I165,ErrMsg.Mandatory)</f>
        <v/>
      </c>
      <c r="J168" s="151">
        <f>CONCATENATE(J165,ErrMsg.Mandatory)</f>
        <v/>
      </c>
      <c r="K168" s="151">
        <f>CONCATENATE(K165,ErrMsg.Mandatory)</f>
        <v/>
      </c>
      <c r="L168" s="151">
        <f>CONCATENATE(L165,ErrMsg.Mandatory)</f>
        <v/>
      </c>
      <c r="M168" s="151">
        <f>CONCATENATE(M165,ErrMsg.Mandatory)</f>
        <v/>
      </c>
      <c r="N168" s="151">
        <f>CONCATENATE(N165,ErrMsg.Mandatory)</f>
        <v/>
      </c>
      <c r="O168" s="151">
        <f>CONCATENATE(O165,ErrMsg.Mandatory)</f>
        <v/>
      </c>
      <c r="P168" s="151">
        <f>CONCATENATE(P165,ErrMsg.Mandatory)</f>
        <v/>
      </c>
      <c r="Q168" s="151">
        <f>CONCATENATE(Q165,ErrMsg.Mandatory)</f>
        <v/>
      </c>
    </row>
    <row r="169" ht="51" customHeight="1" s="486">
      <c r="A169" s="151" t="inlineStr">
        <is>
          <t>Validation Rule2</t>
        </is>
      </c>
      <c r="B169" s="152" t="inlineStr">
        <is>
          <t>IF(RetInf.DeclareWifeIncome="Yes",validatePIN(RentalIncome.ListW,"A"),"NE")</t>
        </is>
      </c>
      <c r="C169" s="152" t="inlineStr">
        <is>
          <t>IF(RetInf.DeclareWifeIncome="Yes",validateAlphaNumeric(RentalIncome.ListW,"B"),"NE")</t>
        </is>
      </c>
      <c r="D169" s="152" t="inlineStr">
        <is>
          <t>IF(RetInf.DeclareWifeIncome="Yes",validateAlphaNumeric(RentalIncome.ListW,"C"),"NE")</t>
        </is>
      </c>
      <c r="E169" s="152" t="inlineStr">
        <is>
          <t>IF(RetInf.DeclareWifeIncome="Yes",validateAlphaNumeric(RentalIncome.ListW,"D"),"NE")</t>
        </is>
      </c>
      <c r="F169" s="152" t="inlineStr">
        <is>
          <t>IF(RetInf.DeclareWifeIncome="Yes",validateAlphaNumeric(RentalIncome.ListW,"E"),"NE")</t>
        </is>
      </c>
      <c r="G169" s="152" t="inlineStr">
        <is>
          <t>IF(RetInf.DeclareWifeIncome="Yes",validateAlphabetOnly(RentalIncome.ListW,"F"),"NE")</t>
        </is>
      </c>
      <c r="I169" s="152" t="n"/>
      <c r="J169" s="152" t="n"/>
      <c r="K169" s="152" t="inlineStr">
        <is>
          <t>validateAlphaNumeric(RentalIncome.ListW,"J")</t>
        </is>
      </c>
      <c r="L169" s="152" t="inlineStr">
        <is>
          <t>IF(RetInf.DeclareWifeIncome="Yes",validateNumericAccount(RentalIncome.ListW,"K"),"NE")</t>
        </is>
      </c>
      <c r="M169" s="152" t="n"/>
      <c r="N169" s="152" t="inlineStr">
        <is>
          <t>IF(RetInf.DeclareWifeIncome="Yes",validateNumeric(RentalIncome.ListW,"M"),"NE")</t>
        </is>
      </c>
      <c r="O169" s="152" t="inlineStr">
        <is>
          <t>IF(RetInf.DeclareWifeIncome="Yes",validateDate(RentalIncome.ListW,"N"),"NE")</t>
        </is>
      </c>
      <c r="P169" s="152" t="inlineStr">
        <is>
          <t>IF(RetInf.DeclareWifeIncome="Yes",validateDate(RentalIncome.ListW,"O"),"NE")</t>
        </is>
      </c>
      <c r="Q169" s="152" t="inlineStr">
        <is>
          <t>IF(RetInf.DeclareWifeIncome="Yes",validateCurrencyFormat(RentalIncome.ListW,"P"),"NE")</t>
        </is>
      </c>
    </row>
    <row r="170" ht="51" customHeight="1" s="486">
      <c r="A170" s="151" t="inlineStr">
        <is>
          <t>Error Message</t>
        </is>
      </c>
      <c r="B170" s="152">
        <f>CONCATENATE("Please enter ",B165,ErrMsg.PinFormat)</f>
        <v/>
      </c>
      <c r="C170" s="152">
        <f>ErrMsg.alphanumeric</f>
        <v/>
      </c>
      <c r="D170" s="152">
        <f>ErrMsg.alphanumeric</f>
        <v/>
      </c>
      <c r="E170" s="152">
        <f>ErrMsg.alphanumeric</f>
        <v/>
      </c>
      <c r="F170" s="152">
        <f>ErrMsg.alphanumeric</f>
        <v/>
      </c>
      <c r="G170" s="152">
        <f>ErrMsg.Alphabet</f>
        <v/>
      </c>
      <c r="I170" s="152" t="n"/>
      <c r="J170" s="152" t="n"/>
      <c r="K170" s="152">
        <f>ErrMsg.alphanumeric</f>
        <v/>
      </c>
      <c r="L170" s="152">
        <f>ErrMsg.NumericVal</f>
        <v/>
      </c>
      <c r="M170" s="152" t="n"/>
      <c r="N170" s="152">
        <f>ErrMsg.NumericVal</f>
        <v/>
      </c>
      <c r="O170" s="152" t="inlineStr">
        <is>
          <t>Please enter date in proper format</t>
        </is>
      </c>
      <c r="P170" s="152" t="inlineStr">
        <is>
          <t>Please enter date in proper format</t>
        </is>
      </c>
      <c r="Q170" s="152">
        <f>ErrMsg.NumericVal</f>
        <v/>
      </c>
    </row>
    <row r="171" ht="68" customHeight="1" s="486">
      <c r="A171" s="151" t="inlineStr">
        <is>
          <t>Validation Rule3</t>
        </is>
      </c>
      <c r="B171" s="152" t="inlineStr">
        <is>
          <t>checkPINDuplication("RentalIncome.ListW",RentalIncome.ListW,"A")</t>
        </is>
      </c>
      <c r="C171" s="152" t="n"/>
      <c r="D171" s="152" t="n"/>
      <c r="E171" s="152" t="n"/>
      <c r="F171" s="152" t="n"/>
      <c r="G171" s="152" t="n"/>
      <c r="H171" s="152" t="n"/>
      <c r="I171" s="152" t="n"/>
      <c r="J171" s="152" t="n"/>
      <c r="K171" s="152" t="n"/>
      <c r="L171" s="152" t="n"/>
      <c r="M171" s="152" t="n"/>
      <c r="O171" s="151" t="inlineStr">
        <is>
          <t>validateDateBtwnRtnPeriod(RentalIncome.ListW,"N")</t>
        </is>
      </c>
      <c r="P171" s="151" t="inlineStr">
        <is>
          <t>validateDateBtwnRtnPeriod(RentalIncome.ListW,"O")</t>
        </is>
      </c>
      <c r="Q171" s="152" t="inlineStr">
        <is>
          <t>IF(RetInf.DeclareWifeBusIncome="Yes",compareValues(RentalIncome.ListWTO,PLA.GrossTurnoverBPRentalToW),"NE")</t>
        </is>
      </c>
    </row>
    <row r="172" ht="85" customHeight="1" s="486">
      <c r="A172" s="151" t="inlineStr">
        <is>
          <t>Error Message</t>
        </is>
      </c>
      <c r="B172" s="152">
        <f>CONCATENATE(B165,ErrMsg.CompareToTaxPayerPin)</f>
        <v/>
      </c>
      <c r="C172" s="152" t="n"/>
      <c r="D172" s="152" t="n"/>
      <c r="E172" s="152" t="n"/>
      <c r="F172" s="152" t="n"/>
      <c r="G172" s="152" t="n"/>
      <c r="H172" s="152" t="n"/>
      <c r="I172" s="152" t="n"/>
      <c r="J172" s="152" t="n"/>
      <c r="K172" s="152" t="n"/>
      <c r="L172" s="152" t="n"/>
      <c r="M172" s="152" t="n"/>
      <c r="O172" s="151">
        <f>ErrMsg.WithinRtnPeriod</f>
        <v/>
      </c>
      <c r="P172" s="151">
        <f>ErrMsg.WithinRtnPeriod</f>
        <v/>
      </c>
      <c r="Q172" s="152" t="inlineStr">
        <is>
          <t>The  Amount of Gross Rental Income must be equal to "Gross Turnover of Business or Profession of Rental" in B_Profit_Loss_Account_Wife.</t>
        </is>
      </c>
    </row>
    <row r="174" ht="51" customFormat="1" customHeight="1" s="150">
      <c r="A174" s="149" t="inlineStr">
        <is>
          <t>F_Employment_Income</t>
        </is>
      </c>
      <c r="B174" s="149" t="inlineStr">
        <is>
          <t>PIN of Employer</t>
        </is>
      </c>
      <c r="C174" s="149" t="inlineStr">
        <is>
          <t>Name of Employer</t>
        </is>
      </c>
      <c r="D174" s="149" t="inlineStr">
        <is>
          <t>Gross Pay</t>
        </is>
      </c>
      <c r="E174" s="149" t="inlineStr">
        <is>
          <t xml:space="preserve">Allowances and Benefits from Employment (Other than Car and Housing) </t>
        </is>
      </c>
      <c r="F174" s="149" t="inlineStr">
        <is>
          <t>Value of Car Benefit (Total of "Value of Car Benefit" from I_Computation_of_Car_Benefit)</t>
        </is>
      </c>
      <c r="G174" s="149" t="inlineStr">
        <is>
          <t>Net Value of Housing</t>
        </is>
      </c>
      <c r="H174" s="149" t="inlineStr">
        <is>
          <t>Pension if in excess of 300,000 (Ksh)</t>
        </is>
      </c>
      <c r="I174" s="149" t="inlineStr">
        <is>
          <t>Total Employment Income</t>
        </is>
      </c>
      <c r="J174" s="149" t="n"/>
      <c r="K174" s="149" t="n"/>
      <c r="L174" s="149" t="n"/>
      <c r="M174" s="149" t="n"/>
      <c r="N174" s="149" t="n"/>
      <c r="O174" s="149" t="n"/>
      <c r="P174" s="149" t="n"/>
      <c r="Q174" s="149" t="n"/>
      <c r="R174" s="149" t="inlineStr">
        <is>
          <t>Section F : Details of Employment Income (Self)</t>
        </is>
      </c>
    </row>
    <row r="175" ht="17" customHeight="1" s="486">
      <c r="A175" s="151" t="inlineStr">
        <is>
          <t>Mandatory</t>
        </is>
      </c>
      <c r="B175" s="151" t="inlineStr">
        <is>
          <t>Y</t>
        </is>
      </c>
      <c r="C175" s="151" t="inlineStr">
        <is>
          <t>Y</t>
        </is>
      </c>
      <c r="D175" s="151" t="inlineStr">
        <is>
          <t>Y</t>
        </is>
      </c>
      <c r="E175" s="151" t="inlineStr">
        <is>
          <t>Y</t>
        </is>
      </c>
      <c r="F175" s="151" t="inlineStr">
        <is>
          <t>Y</t>
        </is>
      </c>
      <c r="G175" s="151" t="inlineStr">
        <is>
          <t>Y</t>
        </is>
      </c>
      <c r="H175" s="151" t="inlineStr">
        <is>
          <t>Y</t>
        </is>
      </c>
      <c r="I175" s="151" t="inlineStr">
        <is>
          <t>Y</t>
        </is>
      </c>
    </row>
    <row r="176" ht="34" customHeight="1" s="486">
      <c r="A176" s="151" t="inlineStr">
        <is>
          <t>Validation Rule1</t>
        </is>
      </c>
      <c r="B176" s="151" t="inlineStr">
        <is>
          <t>isMandatory(EmpIncome.ListS,B175,"A")</t>
        </is>
      </c>
      <c r="C176" s="151" t="inlineStr">
        <is>
          <t>isMandatory(EmpIncome.ListS,C175,"B")</t>
        </is>
      </c>
      <c r="D176" s="151" t="inlineStr">
        <is>
          <t>isMandatory(EmpIncome.ListS,D175,"C")</t>
        </is>
      </c>
      <c r="E176" s="151" t="inlineStr">
        <is>
          <t>isMandatory(EmpIncome.ListS,E175,"D")</t>
        </is>
      </c>
      <c r="F176" s="151" t="inlineStr">
        <is>
          <t>isMandatory(EmpIncome.ListS,F175,"E")</t>
        </is>
      </c>
      <c r="G176" s="151" t="inlineStr">
        <is>
          <t>isMandatory(EmpIncome.ListS,G175,"F")</t>
        </is>
      </c>
      <c r="H176" s="151" t="inlineStr">
        <is>
          <t>isMandatory(EmpIncome.ListS,H175,"G")</t>
        </is>
      </c>
      <c r="I176" s="151" t="inlineStr">
        <is>
          <t>isMandatory(EmpIncome.ListS,I175,"H")</t>
        </is>
      </c>
    </row>
    <row r="177" ht="68" customHeight="1" s="486">
      <c r="A177" s="151" t="inlineStr">
        <is>
          <t>Error Message</t>
        </is>
      </c>
      <c r="B177" s="151">
        <f>CONCATENATE(B174,ErrMsg.Mandatory)</f>
        <v/>
      </c>
      <c r="C177" s="151">
        <f>CONCATENATE(C174,ErrMsg.Mandatory)</f>
        <v/>
      </c>
      <c r="D177" s="151">
        <f>CONCATENATE(D174,ErrMsg.Mandatory)</f>
        <v/>
      </c>
      <c r="E177" s="151">
        <f>CONCATENATE(E174,ErrMsg.Mandatory)</f>
        <v/>
      </c>
      <c r="F177" s="151">
        <f>CONCATENATE(F174,ErrMsg.Mandatory)</f>
        <v/>
      </c>
      <c r="G177" s="151">
        <f>CONCATENATE(G174,ErrMsg.Mandatory)</f>
        <v/>
      </c>
      <c r="H177" s="151">
        <f>CONCATENATE(H174,ErrMsg.Mandatory)</f>
        <v/>
      </c>
      <c r="I177" s="151">
        <f>CONCATENATE(I174,ErrMsg.Mandatory)</f>
        <v/>
      </c>
    </row>
    <row r="178" ht="34" customHeight="1" s="486">
      <c r="A178" s="151" t="inlineStr">
        <is>
          <t>Validation Rule2</t>
        </is>
      </c>
      <c r="B178" s="152" t="inlineStr">
        <is>
          <t>validatePIN(EmpIncome.ListS,"A")</t>
        </is>
      </c>
      <c r="C178" s="152" t="inlineStr">
        <is>
          <t>validateAlphaNumeric(EmpIncome.ListS,"B")</t>
        </is>
      </c>
      <c r="D178" s="152" t="inlineStr">
        <is>
          <t>validateCurrencyFormat(EmpIncome.ListS,"C")</t>
        </is>
      </c>
      <c r="E178" s="152" t="inlineStr">
        <is>
          <t>validateCurrencyFormat(EmpIncome.ListS,"D")</t>
        </is>
      </c>
      <c r="F178" s="152" t="inlineStr">
        <is>
          <t>validateCurrencyFormat(EmpIncome.ListS,"E")</t>
        </is>
      </c>
      <c r="G178" s="152" t="inlineStr">
        <is>
          <t>validateCurrencyFormat(EmpIncome.ListS,"F")</t>
        </is>
      </c>
      <c r="H178" s="152" t="inlineStr">
        <is>
          <t>validateCurrencyFormat(EmpIncome.ListS,"G")</t>
        </is>
      </c>
      <c r="I178" s="152" t="inlineStr">
        <is>
          <t>validateCurrencyFormat(EmpIncome.ListS,"H")</t>
        </is>
      </c>
    </row>
    <row r="179" ht="51" customHeight="1" s="486">
      <c r="A179" s="151" t="inlineStr">
        <is>
          <t>Error Message</t>
        </is>
      </c>
      <c r="B179" s="152">
        <f>CONCATENATE("Please enter ",B174,ErrMsg.PinFormat)</f>
        <v/>
      </c>
      <c r="C179" s="152">
        <f>ErrMsg.alphanumeric</f>
        <v/>
      </c>
      <c r="D179" s="152">
        <f>ErrMsg.NumericVal</f>
        <v/>
      </c>
      <c r="E179" s="152">
        <f>ErrMsg.NumericVal</f>
        <v/>
      </c>
      <c r="F179" s="152">
        <f>ErrMsg.NumericVal</f>
        <v/>
      </c>
      <c r="G179" s="152">
        <f>ErrMsg.NumericVal</f>
        <v/>
      </c>
      <c r="H179" s="152">
        <f>ErrMsg.NumericVal</f>
        <v/>
      </c>
      <c r="I179" s="152">
        <f>ErrMsg.NumericVal</f>
        <v/>
      </c>
    </row>
    <row r="180" ht="34" customHeight="1" s="486">
      <c r="A180" s="151" t="inlineStr">
        <is>
          <t>Validation Rule3</t>
        </is>
      </c>
      <c r="B180" s="152" t="inlineStr">
        <is>
          <t>checkPINDuplication("EmpIncome.ListS",EmpIncome.ListS,"A")</t>
        </is>
      </c>
      <c r="C180" s="152" t="n"/>
      <c r="D180" s="152" t="n"/>
      <c r="E180" s="152" t="n"/>
      <c r="F180" s="152" t="n"/>
      <c r="G180" s="152" t="n"/>
      <c r="H180" s="152" t="n"/>
      <c r="I180" s="152" t="n"/>
      <c r="J180" s="152" t="n"/>
      <c r="K180" s="152" t="n"/>
      <c r="L180" s="152" t="n"/>
      <c r="M180" s="152" t="n"/>
      <c r="Q180" s="152" t="n"/>
    </row>
    <row r="181" ht="34" customHeight="1" s="486">
      <c r="A181" s="151" t="inlineStr">
        <is>
          <t>Error Message</t>
        </is>
      </c>
      <c r="B181" s="152">
        <f>CONCATENATE(B174,ErrMsg.CompareToTaxPayerPin)</f>
        <v/>
      </c>
      <c r="C181" s="152" t="n"/>
      <c r="D181" s="152" t="n"/>
      <c r="E181" s="152" t="n"/>
      <c r="F181" s="152" t="n"/>
      <c r="G181" s="152" t="n"/>
      <c r="H181" s="152" t="n"/>
      <c r="I181" s="152" t="n"/>
      <c r="J181" s="152" t="n"/>
      <c r="K181" s="152" t="n"/>
      <c r="L181" s="152" t="n"/>
      <c r="M181" s="152" t="n"/>
      <c r="Q181" s="152" t="n"/>
    </row>
    <row r="183" ht="51" customFormat="1" customHeight="1" s="150">
      <c r="A183" s="149" t="inlineStr">
        <is>
          <t>F_Employment_Income</t>
        </is>
      </c>
      <c r="B183" s="149" t="inlineStr">
        <is>
          <t>PIN of Employer</t>
        </is>
      </c>
      <c r="C183" s="149" t="inlineStr">
        <is>
          <t>Name of Employer</t>
        </is>
      </c>
      <c r="D183" s="149" t="inlineStr">
        <is>
          <t>Gross Pay</t>
        </is>
      </c>
      <c r="E183" s="149" t="inlineStr">
        <is>
          <t>Allowances and Benefits from Employment (Other than Car and Housing)</t>
        </is>
      </c>
      <c r="F183" s="149" t="inlineStr">
        <is>
          <t>Value of Car Benefit (Total of "Value of Car Benefit" from I_Computation_of_Car_Benefit)</t>
        </is>
      </c>
      <c r="G183" s="149" t="inlineStr">
        <is>
          <t>Net Value of Housing</t>
        </is>
      </c>
      <c r="H183" s="149" t="inlineStr">
        <is>
          <t>Pension if in excess of 300,000 (Ksh)</t>
        </is>
      </c>
      <c r="I183" s="149" t="inlineStr">
        <is>
          <t>Total Employment Income</t>
        </is>
      </c>
      <c r="J183" s="149" t="n"/>
      <c r="K183" s="149" t="n"/>
      <c r="L183" s="149" t="n"/>
      <c r="M183" s="149" t="n"/>
      <c r="N183" s="149" t="n"/>
      <c r="O183" s="149" t="n"/>
      <c r="P183" s="149" t="n"/>
      <c r="Q183" s="149" t="n"/>
      <c r="R183" s="149" t="inlineStr">
        <is>
          <t>Section F : Details of Employment Income (Wife)</t>
        </is>
      </c>
    </row>
    <row r="184" ht="17" customHeight="1" s="486">
      <c r="A184" s="151" t="inlineStr">
        <is>
          <t>Mandatory</t>
        </is>
      </c>
      <c r="B184" s="151" t="inlineStr">
        <is>
          <t>Y</t>
        </is>
      </c>
      <c r="C184" s="151" t="inlineStr">
        <is>
          <t>Y</t>
        </is>
      </c>
      <c r="D184" s="151" t="inlineStr">
        <is>
          <t>Y</t>
        </is>
      </c>
      <c r="E184" s="151" t="inlineStr">
        <is>
          <t>Y</t>
        </is>
      </c>
      <c r="F184" s="151" t="inlineStr">
        <is>
          <t>Y</t>
        </is>
      </c>
      <c r="G184" s="151" t="inlineStr">
        <is>
          <t>Y</t>
        </is>
      </c>
      <c r="H184" s="151" t="inlineStr">
        <is>
          <t>Y</t>
        </is>
      </c>
      <c r="I184" s="151" t="inlineStr">
        <is>
          <t>Y</t>
        </is>
      </c>
    </row>
    <row r="185" ht="51" customHeight="1" s="486">
      <c r="A185" s="151" t="inlineStr">
        <is>
          <t>Validation Rule1</t>
        </is>
      </c>
      <c r="B185" s="151" t="inlineStr">
        <is>
          <t>IF(RetInf.DeclareWifeIncome="Yes",isMandatory(EmpIncome.ListW,B184,"A"),"NE")</t>
        </is>
      </c>
      <c r="C185" s="151" t="inlineStr">
        <is>
          <t>IF(RetInf.DeclareWifeIncome="Yes",isMandatory(EmpIncome.ListW,C184,"B"),"NE")</t>
        </is>
      </c>
      <c r="D185" s="151" t="inlineStr">
        <is>
          <t>IF(RetInf.DeclareWifeIncome="Yes",isMandatory(EmpIncome.ListW,D184,"C"),"NE")</t>
        </is>
      </c>
      <c r="E185" s="151" t="inlineStr">
        <is>
          <t>IF(RetInf.DeclareWifeIncome="Yes",isMandatory(EmpIncome.ListW,E184,"D"),"NE")</t>
        </is>
      </c>
      <c r="F185" s="151" t="inlineStr">
        <is>
          <t>IF(RetInf.DeclareWifeIncome="Yes",isMandatory(EmpIncome.ListW,F184,"E"),"NE")</t>
        </is>
      </c>
      <c r="G185" s="151" t="inlineStr">
        <is>
          <t>IF(RetInf.DeclareWifeIncome="Yes",isMandatory(EmpIncome.ListW,G184,"F"),"NE")</t>
        </is>
      </c>
      <c r="H185" s="151" t="inlineStr">
        <is>
          <t>IF(RetInf.DeclareWifeIncome="Yes",isMandatory(EmpIncome.ListW,H184,"G"),"NE")</t>
        </is>
      </c>
      <c r="I185" s="151" t="inlineStr">
        <is>
          <t>IF(RetInf.DeclareWifeIncome="Yes",isMandatory(EmpIncome.ListW,I184,"H"),"NE")</t>
        </is>
      </c>
    </row>
    <row r="186" ht="68" customHeight="1" s="486">
      <c r="A186" s="151" t="inlineStr">
        <is>
          <t>Error Message</t>
        </is>
      </c>
      <c r="B186" s="151">
        <f>CONCATENATE(B183,ErrMsg.Mandatory)</f>
        <v/>
      </c>
      <c r="C186" s="151">
        <f>CONCATENATE(C183,ErrMsg.Mandatory)</f>
        <v/>
      </c>
      <c r="D186" s="151">
        <f>CONCATENATE(D183,ErrMsg.Mandatory)</f>
        <v/>
      </c>
      <c r="E186" s="151">
        <f>CONCATENATE(E183,ErrMsg.Mandatory)</f>
        <v/>
      </c>
      <c r="F186" s="151">
        <f>CONCATENATE(F183,ErrMsg.Mandatory)</f>
        <v/>
      </c>
      <c r="G186" s="151">
        <f>CONCATENATE(G183,ErrMsg.Mandatory)</f>
        <v/>
      </c>
      <c r="H186" s="151">
        <f>CONCATENATE(H183,ErrMsg.Mandatory)</f>
        <v/>
      </c>
      <c r="I186" s="151">
        <f>CONCATENATE(I183,ErrMsg.Mandatory)</f>
        <v/>
      </c>
    </row>
    <row r="187" ht="51" customHeight="1" s="486">
      <c r="A187" s="151" t="inlineStr">
        <is>
          <t>Validation Rule2</t>
        </is>
      </c>
      <c r="B187" s="152" t="inlineStr">
        <is>
          <t>IF(RetInf.DeclareWifeIncome="Yes",validatePIN(EmpIncome.ListW,"A"),"NE")</t>
        </is>
      </c>
      <c r="C187" s="152" t="inlineStr">
        <is>
          <t>IF(RetInf.DeclareWifeIncome="Yes",validateAlphaNumeric(EmpIncome.ListW,"B"),"NE")</t>
        </is>
      </c>
      <c r="D187" s="151" t="inlineStr">
        <is>
          <t>IF(RetInf.DeclareWifeIncome="Yes",validateCurrencyFormat(EmpIncome.ListW,"C"),"NE")</t>
        </is>
      </c>
      <c r="E187" s="151" t="inlineStr">
        <is>
          <t>IF(RetInf.DeclareWifeIncome="Yes",validateCurrencyFormat(EmpIncome.ListW,"D"),"NE")</t>
        </is>
      </c>
      <c r="F187" s="151" t="inlineStr">
        <is>
          <t>IF(RetInf.DeclareWifeIncome="Yes",validateCurrencyFormat(EmpIncome.ListW,"E"),"NE")</t>
        </is>
      </c>
      <c r="G187" s="151" t="inlineStr">
        <is>
          <t>IF(RetInf.DeclareWifeIncome="Yes",validateCurrencyFormat(EmpIncome.ListW,"F"),"NE")</t>
        </is>
      </c>
      <c r="H187" s="151" t="inlineStr">
        <is>
          <t>IF(RetInf.DeclareWifeIncome="Yes",validateCurrencyFormat(EmpIncome.ListW,"G"),"NE")</t>
        </is>
      </c>
      <c r="I187" s="151" t="inlineStr">
        <is>
          <t>IF(RetInf.DeclareWifeIncome="Yes",validateCurrencyFormat(EmpIncome.ListW,"H"),"NE")</t>
        </is>
      </c>
    </row>
    <row r="188" ht="51" customHeight="1" s="486">
      <c r="A188" s="151" t="inlineStr">
        <is>
          <t>Error Message</t>
        </is>
      </c>
      <c r="B188" s="152">
        <f>CONCATENATE("Please enter ",B183,ErrMsg.PinFormat)</f>
        <v/>
      </c>
      <c r="C188" s="152">
        <f>ErrMsg.alphanumeric</f>
        <v/>
      </c>
      <c r="D188" s="152">
        <f>ErrMsg.NumericVal</f>
        <v/>
      </c>
      <c r="E188" s="152">
        <f>ErrMsg.NumericVal</f>
        <v/>
      </c>
      <c r="F188" s="152">
        <f>ErrMsg.NumericVal</f>
        <v/>
      </c>
      <c r="G188" s="152">
        <f>ErrMsg.NumericVal</f>
        <v/>
      </c>
      <c r="H188" s="152">
        <f>ErrMsg.NumericVal</f>
        <v/>
      </c>
      <c r="I188" s="152">
        <f>ErrMsg.NumericVal</f>
        <v/>
      </c>
    </row>
    <row r="189" ht="34" customHeight="1" s="486">
      <c r="A189" s="151" t="inlineStr">
        <is>
          <t>Validation Rule3</t>
        </is>
      </c>
      <c r="B189" s="152" t="inlineStr">
        <is>
          <t>checkPINDuplication("EmpIncome.ListW",EmpIncome.ListW,"A")</t>
        </is>
      </c>
      <c r="C189" s="152" t="n"/>
      <c r="D189" s="152" t="n"/>
      <c r="E189" s="152" t="n"/>
      <c r="F189" s="152" t="n"/>
      <c r="G189" s="152" t="n"/>
      <c r="H189" s="152" t="n"/>
      <c r="I189" s="152" t="n"/>
      <c r="J189" s="152" t="n"/>
      <c r="K189" s="152" t="n"/>
      <c r="L189" s="152" t="n"/>
      <c r="M189" s="152" t="n"/>
      <c r="Q189" s="152" t="n"/>
    </row>
    <row r="190" ht="34" customHeight="1" s="486">
      <c r="A190" s="151" t="inlineStr">
        <is>
          <t>Error Message</t>
        </is>
      </c>
      <c r="B190" s="152">
        <f>CONCATENATE(B183,ErrMsg.CompareToTaxPayerPin)</f>
        <v/>
      </c>
      <c r="C190" s="152" t="n"/>
      <c r="D190" s="152" t="n"/>
      <c r="E190" s="152" t="n"/>
      <c r="F190" s="152" t="n"/>
      <c r="G190" s="152" t="n"/>
      <c r="H190" s="152" t="n"/>
      <c r="I190" s="152" t="n"/>
      <c r="J190" s="152" t="n"/>
      <c r="K190" s="152" t="n"/>
      <c r="L190" s="152" t="n"/>
      <c r="M190" s="152" t="n"/>
      <c r="Q190" s="152" t="n"/>
    </row>
    <row r="192" ht="34" customFormat="1" customHeight="1" s="150">
      <c r="A192" s="149" t="inlineStr">
        <is>
          <t>I_Computation_of_Car_Benefit</t>
        </is>
      </c>
      <c r="B192" s="149" t="inlineStr">
        <is>
          <t>PIN of Employer</t>
        </is>
      </c>
      <c r="C192" s="149" t="inlineStr">
        <is>
          <t>Car Registration Number</t>
        </is>
      </c>
      <c r="D192" s="149" t="inlineStr">
        <is>
          <t>Make</t>
        </is>
      </c>
      <c r="E192" s="149" t="inlineStr">
        <is>
          <t>Body Type</t>
        </is>
      </c>
      <c r="F192" s="149" t="inlineStr">
        <is>
          <t>CC Rating</t>
        </is>
      </c>
      <c r="G192" s="149" t="inlineStr">
        <is>
          <t>Type of Car</t>
        </is>
      </c>
      <c r="H192" s="149" t="inlineStr">
        <is>
          <t>Cost of Hiring / Leasing</t>
        </is>
      </c>
      <c r="I192" s="149" t="inlineStr">
        <is>
          <t>Cost of Own Car</t>
        </is>
      </c>
      <c r="J192" s="149" t="inlineStr">
        <is>
          <t>Period of Use during the Year (in Months)</t>
        </is>
      </c>
      <c r="K192" s="149" t="inlineStr">
        <is>
          <t>Value of Car Benefit</t>
        </is>
      </c>
      <c r="L192" s="149" t="n"/>
      <c r="M192" s="149" t="n"/>
      <c r="N192" s="149" t="n"/>
      <c r="O192" s="149" t="n"/>
      <c r="P192" s="149" t="n"/>
      <c r="Q192" s="149" t="n"/>
      <c r="R192" s="149" t="inlineStr">
        <is>
          <t>Section I : Computation of Value of Car Benefit (Self)</t>
        </is>
      </c>
    </row>
    <row r="193" ht="17" customHeight="1" s="486">
      <c r="A193" s="151" t="inlineStr">
        <is>
          <t>Mandatory</t>
        </is>
      </c>
      <c r="B193" s="151" t="inlineStr">
        <is>
          <t>Y</t>
        </is>
      </c>
      <c r="C193" s="151" t="inlineStr">
        <is>
          <t>Y</t>
        </is>
      </c>
      <c r="D193" s="151" t="inlineStr">
        <is>
          <t>Y</t>
        </is>
      </c>
      <c r="E193" s="151" t="inlineStr">
        <is>
          <t>Y</t>
        </is>
      </c>
      <c r="F193" s="151" t="inlineStr">
        <is>
          <t>Y</t>
        </is>
      </c>
      <c r="G193" s="151" t="inlineStr">
        <is>
          <t>Y</t>
        </is>
      </c>
      <c r="H193" s="151" t="inlineStr">
        <is>
          <t>Y</t>
        </is>
      </c>
      <c r="I193" s="151" t="inlineStr">
        <is>
          <t>Y</t>
        </is>
      </c>
      <c r="J193" s="151" t="inlineStr">
        <is>
          <t>Y</t>
        </is>
      </c>
      <c r="K193" s="151" t="inlineStr">
        <is>
          <t>Y</t>
        </is>
      </c>
    </row>
    <row r="194" ht="34" customHeight="1" s="486">
      <c r="A194" s="151" t="inlineStr">
        <is>
          <t>Validation Rule1</t>
        </is>
      </c>
      <c r="B194" s="151" t="inlineStr">
        <is>
          <t>isMandatory(CarBenefit.ListS,B193,"A")</t>
        </is>
      </c>
      <c r="C194" s="151" t="inlineStr">
        <is>
          <t>isMandatory(CarBenefit.ListS,C193,"B")</t>
        </is>
      </c>
      <c r="D194" s="151" t="inlineStr">
        <is>
          <t>isMandatory(CarBenefit.ListS,D193,"C")</t>
        </is>
      </c>
      <c r="E194" s="151" t="inlineStr">
        <is>
          <t>isMandatory(CarBenefit.ListS,E193,"D")</t>
        </is>
      </c>
      <c r="F194" s="151" t="inlineStr">
        <is>
          <t>isMandatory(CarBenefit.ListS,F193,"E")</t>
        </is>
      </c>
      <c r="G194" s="151" t="inlineStr">
        <is>
          <t>isMandatory(CarBenefit.ListS,G193,"F")</t>
        </is>
      </c>
      <c r="H194" s="151" t="inlineStr">
        <is>
          <t>isMandatory(CarBenefit.ListS,H193,"G")</t>
        </is>
      </c>
      <c r="I194" s="151" t="inlineStr">
        <is>
          <t>isMandatory(CarBenefit.ListS,I193,"H")</t>
        </is>
      </c>
      <c r="J194" s="151" t="inlineStr">
        <is>
          <t>isMandatory(CarBenefit.ListS,J193,"I")</t>
        </is>
      </c>
      <c r="K194" s="151" t="inlineStr">
        <is>
          <t>isMandatory(CarBenefit.ListS,K193,"J")</t>
        </is>
      </c>
    </row>
    <row r="195" ht="34" customHeight="1" s="486">
      <c r="A195" s="151" t="inlineStr">
        <is>
          <t>Error Message</t>
        </is>
      </c>
      <c r="B195" s="151">
        <f>CONCATENATE(B192,ErrMsg.Mandatory)</f>
        <v/>
      </c>
      <c r="C195" s="151">
        <f>CONCATENATE(C192,ErrMsg.Mandatory)</f>
        <v/>
      </c>
      <c r="D195" s="151">
        <f>CONCATENATE(D192,ErrMsg.Mandatory)</f>
        <v/>
      </c>
      <c r="E195" s="151">
        <f>CONCATENATE(E192,ErrMsg.Mandatory)</f>
        <v/>
      </c>
      <c r="F195" s="151">
        <f>CONCATENATE(F192,ErrMsg.Mandatory)</f>
        <v/>
      </c>
      <c r="G195" s="151">
        <f>CONCATENATE(G192,ErrMsg.Mandatory)</f>
        <v/>
      </c>
      <c r="H195" s="151">
        <f>CONCATENATE(H192,ErrMsg.Mandatory)</f>
        <v/>
      </c>
      <c r="I195" s="151">
        <f>CONCATENATE(I192,ErrMsg.Mandatory)</f>
        <v/>
      </c>
      <c r="J195" s="151">
        <f>CONCATENATE(J192,ErrMsg.Mandatory)</f>
        <v/>
      </c>
      <c r="K195" s="151">
        <f>CONCATENATE(K192,ErrMsg.Mandatory)</f>
        <v/>
      </c>
    </row>
    <row r="196" ht="34" customHeight="1" s="486">
      <c r="A196" s="151" t="inlineStr">
        <is>
          <t>Validation Rule2</t>
        </is>
      </c>
      <c r="B196" s="151" t="inlineStr">
        <is>
          <t>validateAlphaNumeric(CarBenefit.ListS,"A")</t>
        </is>
      </c>
      <c r="C196" s="151" t="inlineStr">
        <is>
          <t>validateAlphaNumeric(CarBenefit.ListS,"B")</t>
        </is>
      </c>
      <c r="D196" s="151" t="inlineStr">
        <is>
          <t>validateAlphaNumeric(CarBenefit.ListS,"C")</t>
        </is>
      </c>
      <c r="F196" s="151" t="inlineStr">
        <is>
          <t>validateAlphaNumeric(CarBenefit.ListS,"E")</t>
        </is>
      </c>
      <c r="G196" s="151" t="inlineStr">
        <is>
          <t>validateAlphaNumeric(CarBenefit.ListS,"F")</t>
        </is>
      </c>
      <c r="H196" s="151" t="inlineStr">
        <is>
          <t>validateAlphaNumeric(CarBenefit.ListS,"G")</t>
        </is>
      </c>
      <c r="I196" s="151" t="inlineStr">
        <is>
          <t>validateAlphaNumeric(CarBenefit.ListS,"H")</t>
        </is>
      </c>
      <c r="J196" s="151" t="inlineStr">
        <is>
          <t>validateAlphaNumeric(CarBenefit.ListS,"I")</t>
        </is>
      </c>
      <c r="K196" s="151" t="inlineStr">
        <is>
          <t>validateAlphaNumeric(CarBenefit.ListS,"J")</t>
        </is>
      </c>
    </row>
    <row r="197" ht="51" customHeight="1" s="486">
      <c r="A197" s="151" t="inlineStr">
        <is>
          <t>Error Message</t>
        </is>
      </c>
      <c r="B197" s="152">
        <f>ErrMsg.alphanumeric</f>
        <v/>
      </c>
      <c r="C197" s="152">
        <f>ErrMsg.alphanumeric</f>
        <v/>
      </c>
      <c r="D197" s="152">
        <f>ErrMsg.alphanumeric</f>
        <v/>
      </c>
      <c r="E197" s="152" t="n"/>
      <c r="F197" s="152">
        <f>ErrMsg.alphanumeric</f>
        <v/>
      </c>
      <c r="G197" s="152">
        <f>ErrMsg.alphanumeric</f>
        <v/>
      </c>
      <c r="H197" s="152">
        <f>ErrMsg.alphanumeric</f>
        <v/>
      </c>
      <c r="I197" s="152">
        <f>ErrMsg.alphanumeric</f>
        <v/>
      </c>
      <c r="J197" s="152">
        <f>ErrMsg.alphanumeric</f>
        <v/>
      </c>
      <c r="K197" s="152">
        <f>ErrMsg.alphanumeric</f>
        <v/>
      </c>
    </row>
    <row r="198" ht="34" customHeight="1" s="486">
      <c r="A198" s="151" t="inlineStr">
        <is>
          <t>Validation Rule3</t>
        </is>
      </c>
      <c r="B198" s="152" t="inlineStr">
        <is>
          <t>checkPINDuplication("CarBenefit.ListS",CarBenefit.ListS,"A")</t>
        </is>
      </c>
      <c r="C198" s="152" t="n"/>
      <c r="D198" s="152" t="n"/>
      <c r="E198" s="152" t="n"/>
      <c r="F198" s="152" t="n"/>
      <c r="G198" s="152" t="n"/>
      <c r="H198" s="152" t="n"/>
      <c r="I198" s="152" t="n"/>
      <c r="J198" s="152" t="n"/>
      <c r="K198" s="152" t="n"/>
    </row>
    <row r="199" ht="34" customHeight="1" s="486">
      <c r="A199" s="151" t="inlineStr">
        <is>
          <t>Error Message</t>
        </is>
      </c>
      <c r="B199" s="152">
        <f>CONCATENATE(B192,ErrMsg.CompareToTaxPayerPin)</f>
        <v/>
      </c>
      <c r="C199" s="152" t="n"/>
      <c r="D199" s="152" t="n"/>
      <c r="E199" s="152" t="n"/>
      <c r="F199" s="152" t="n"/>
      <c r="G199" s="152" t="n"/>
      <c r="H199" s="152" t="n"/>
      <c r="I199" s="152" t="n"/>
      <c r="J199" s="152" t="n"/>
      <c r="K199" s="152" t="n"/>
    </row>
    <row r="200" ht="34" customHeight="1" s="486">
      <c r="A200" s="151" t="inlineStr">
        <is>
          <t>Validation Rule4</t>
        </is>
      </c>
      <c r="B200" s="151" t="inlineStr">
        <is>
          <t>ValidateRespctiveSectionS(CarBenefit.ListS,"A")</t>
        </is>
      </c>
    </row>
    <row r="201" ht="51" customHeight="1" s="486">
      <c r="A201" s="151" t="inlineStr">
        <is>
          <t>Error Message</t>
        </is>
      </c>
      <c r="B201" s="151" t="inlineStr">
        <is>
          <t>The PIN of Employer entered is not available in Section F_Employment_Income</t>
        </is>
      </c>
    </row>
    <row r="203" ht="34" customFormat="1" customHeight="1" s="150">
      <c r="A203" s="149" t="inlineStr">
        <is>
          <t>I_Computation_of_Car_Benefit</t>
        </is>
      </c>
      <c r="B203" s="149" t="inlineStr">
        <is>
          <t>PIN of Employer</t>
        </is>
      </c>
      <c r="C203" s="149" t="inlineStr">
        <is>
          <t>Car Registration Number</t>
        </is>
      </c>
      <c r="D203" s="149" t="inlineStr">
        <is>
          <t>Make</t>
        </is>
      </c>
      <c r="E203" s="149" t="inlineStr">
        <is>
          <t>Body Type</t>
        </is>
      </c>
      <c r="F203" s="149" t="inlineStr">
        <is>
          <t>CC Rating</t>
        </is>
      </c>
      <c r="G203" s="149" t="inlineStr">
        <is>
          <t>Type of Car</t>
        </is>
      </c>
      <c r="H203" s="149" t="inlineStr">
        <is>
          <t>Cost of Hiring / Leasing</t>
        </is>
      </c>
      <c r="I203" s="149" t="inlineStr">
        <is>
          <t>Cost of Own Car</t>
        </is>
      </c>
      <c r="J203" s="149" t="inlineStr">
        <is>
          <t>Period of Use during the Year (in Months)</t>
        </is>
      </c>
      <c r="K203" s="149" t="inlineStr">
        <is>
          <t>Value of Car Benefit</t>
        </is>
      </c>
      <c r="L203" s="149" t="n"/>
      <c r="M203" s="149" t="n"/>
      <c r="N203" s="149" t="n"/>
      <c r="O203" s="149" t="n"/>
      <c r="P203" s="149" t="n"/>
      <c r="Q203" s="149" t="n"/>
      <c r="R203" s="149" t="inlineStr">
        <is>
          <t>Section I : Computation of Value of Car Benefit (Wife)</t>
        </is>
      </c>
    </row>
    <row r="204" ht="17" customHeight="1" s="486">
      <c r="A204" s="151" t="inlineStr">
        <is>
          <t>Mandatory</t>
        </is>
      </c>
      <c r="B204" s="151" t="inlineStr">
        <is>
          <t>Y</t>
        </is>
      </c>
      <c r="C204" s="151" t="inlineStr">
        <is>
          <t>Y</t>
        </is>
      </c>
      <c r="D204" s="151" t="inlineStr">
        <is>
          <t>Y</t>
        </is>
      </c>
      <c r="E204" s="151" t="inlineStr">
        <is>
          <t>Y</t>
        </is>
      </c>
      <c r="F204" s="151" t="inlineStr">
        <is>
          <t>Y</t>
        </is>
      </c>
      <c r="G204" s="151" t="inlineStr">
        <is>
          <t>Y</t>
        </is>
      </c>
      <c r="H204" s="151" t="inlineStr">
        <is>
          <t>Y</t>
        </is>
      </c>
      <c r="I204" s="151" t="inlineStr">
        <is>
          <t>Y</t>
        </is>
      </c>
      <c r="J204" s="151" t="inlineStr">
        <is>
          <t>Y</t>
        </is>
      </c>
      <c r="K204" s="151" t="inlineStr">
        <is>
          <t>Y</t>
        </is>
      </c>
    </row>
    <row r="205" ht="51" customHeight="1" s="486">
      <c r="A205" s="151" t="inlineStr">
        <is>
          <t>Validation Rule1</t>
        </is>
      </c>
      <c r="B205" s="151" t="inlineStr">
        <is>
          <t>IF(RetInf.DeclareWifeIncome="Yes",isMandatory(CarBenefit.ListW,B204,"A"),"NE")</t>
        </is>
      </c>
      <c r="C205" s="151" t="inlineStr">
        <is>
          <t>IF(RetInf.DeclareWifeIncome="Yes",isMandatory(CarBenefit.ListW,C204,"B"),"NE")</t>
        </is>
      </c>
      <c r="D205" s="151" t="inlineStr">
        <is>
          <t>IF(RetInf.DeclareWifeIncome="Yes",isMandatory(CarBenefit.ListW,D204,"C"),"NE")</t>
        </is>
      </c>
      <c r="E205" s="151" t="inlineStr">
        <is>
          <t>IF(RetInf.DeclareWifeIncome="Yes",isMandatory(CarBenefit.ListW,E204,"D"),"NE")</t>
        </is>
      </c>
      <c r="F205" s="151" t="inlineStr">
        <is>
          <t>IF(RetInf.DeclareWifeIncome="Yes",isMandatory(CarBenefit.ListW,F204,"E"),"NE")</t>
        </is>
      </c>
      <c r="G205" s="151" t="inlineStr">
        <is>
          <t>IF(RetInf.DeclareWifeIncome="Yes",isMandatory(CarBenefit.ListW,G204,"F"),"NE")</t>
        </is>
      </c>
      <c r="H205" s="151" t="inlineStr">
        <is>
          <t>IF(RetInf.DeclareWifeIncome="Yes",isMandatory(CarBenefit.ListW,H204,"G"),"NE")</t>
        </is>
      </c>
      <c r="I205" s="151" t="inlineStr">
        <is>
          <t>IF(RetInf.DeclareWifeIncome="Yes",isMandatory(CarBenefit.ListW,I204,"H"),"NE")</t>
        </is>
      </c>
      <c r="J205" s="151" t="inlineStr">
        <is>
          <t>IF(RetInf.DeclareWifeIncome="Yes",isMandatory(CarBenefit.ListW,J204,"I"),"NE")</t>
        </is>
      </c>
      <c r="K205" s="151" t="inlineStr">
        <is>
          <t>IF(RetInf.DeclareWifeIncome="Yes",isMandatory(CarBenefit.ListW,K204,"J"),"NE")</t>
        </is>
      </c>
    </row>
    <row r="206" ht="34" customHeight="1" s="486">
      <c r="A206" s="151" t="inlineStr">
        <is>
          <t>Error Message</t>
        </is>
      </c>
      <c r="B206" s="151">
        <f>CONCATENATE(B203,ErrMsg.Mandatory)</f>
        <v/>
      </c>
      <c r="C206" s="151">
        <f>CONCATENATE(C203,ErrMsg.Mandatory)</f>
        <v/>
      </c>
      <c r="D206" s="151">
        <f>CONCATENATE(D203,ErrMsg.Mandatory)</f>
        <v/>
      </c>
      <c r="E206" s="151">
        <f>CONCATENATE(E203,ErrMsg.Mandatory)</f>
        <v/>
      </c>
      <c r="F206" s="151">
        <f>CONCATENATE(F203,ErrMsg.Mandatory)</f>
        <v/>
      </c>
      <c r="G206" s="151">
        <f>CONCATENATE(G203,ErrMsg.Mandatory)</f>
        <v/>
      </c>
      <c r="H206" s="151">
        <f>CONCATENATE(H203,ErrMsg.Mandatory)</f>
        <v/>
      </c>
      <c r="I206" s="151">
        <f>CONCATENATE(I203,ErrMsg.Mandatory)</f>
        <v/>
      </c>
      <c r="J206" s="151">
        <f>CONCATENATE(J203,ErrMsg.Mandatory)</f>
        <v/>
      </c>
      <c r="K206" s="151">
        <f>CONCATENATE(K203,ErrMsg.Mandatory)</f>
        <v/>
      </c>
      <c r="L206" s="152" t="n"/>
      <c r="M206" s="152" t="n"/>
      <c r="N206" s="152" t="n"/>
      <c r="O206" s="152" t="n"/>
      <c r="P206" s="152" t="n"/>
      <c r="Q206" s="152" t="n"/>
      <c r="R206" s="152" t="n"/>
    </row>
    <row r="207" ht="51" customHeight="1" s="486">
      <c r="A207" s="151" t="inlineStr">
        <is>
          <t>Validation Rule2</t>
        </is>
      </c>
      <c r="B207" s="151" t="inlineStr">
        <is>
          <t>IF(RetInf.DeclareWifeIncome="Yes",validateAlphaNumeric(CarBenefit.ListW,"A"),"NE")</t>
        </is>
      </c>
      <c r="C207" s="151" t="inlineStr">
        <is>
          <t>IF(RetInf.DeclareWifeIncome="Yes",validateAlphaNumeric(CarBenefit.ListW,"B"),"NE")</t>
        </is>
      </c>
      <c r="D207" s="151" t="inlineStr">
        <is>
          <t>IF(RetInf.DeclareWifeIncome="Yes",validateAlphaNumeric(CarBenefit.ListW,"C"),"NE")</t>
        </is>
      </c>
      <c r="F207" s="151" t="inlineStr">
        <is>
          <t>IF(RetInf.DeclareWifeIncome="Yes",validateCurrencyFormat(CarBenefit.ListW,"E"),"NE")</t>
        </is>
      </c>
      <c r="G207" s="151" t="inlineStr">
        <is>
          <t>IF(RetInf.DeclareWifeIncome="Yes",validateAlphaNumeric(CarBenefit.ListW,"F"),"NE")</t>
        </is>
      </c>
      <c r="H207" s="151" t="inlineStr">
        <is>
          <t>IF(RetInf.DeclareWifeIncome="Yes",validateCurrencyFormat(CarBenefit.ListW,"G"),"NE")</t>
        </is>
      </c>
      <c r="I207" s="151" t="inlineStr">
        <is>
          <t>IF(RetInf.DeclareWifeIncome="Yes",validateCurrencyFormat(CarBenefit.ListW,"H"),"NE")</t>
        </is>
      </c>
      <c r="J207" s="151" t="inlineStr">
        <is>
          <t>IF(RetInf.DeclareWifeIncome="Yes",validateNumeric(CarBenefit.ListW,"I"),"NE")</t>
        </is>
      </c>
      <c r="K207" s="151" t="inlineStr">
        <is>
          <t>IF(RetInf.DeclareWifeIncome="Yes",validateCurrencyFormat(CarBenefit.ListW,"J"),"NE")</t>
        </is>
      </c>
      <c r="L207" s="152" t="n"/>
      <c r="M207" s="152" t="n"/>
      <c r="N207" s="152" t="n"/>
      <c r="O207" s="152" t="n"/>
      <c r="P207" s="152" t="n"/>
      <c r="Q207" s="152" t="n"/>
      <c r="R207" s="152" t="n"/>
    </row>
    <row r="208" ht="51" customHeight="1" s="486">
      <c r="A208" s="151" t="inlineStr">
        <is>
          <t>Error Message</t>
        </is>
      </c>
      <c r="B208" s="152">
        <f>ErrMsg.alphanumeric</f>
        <v/>
      </c>
      <c r="C208" s="152">
        <f>ErrMsg.alphanumeric</f>
        <v/>
      </c>
      <c r="D208" s="152">
        <f>ErrMsg.alphanumeric</f>
        <v/>
      </c>
      <c r="E208" s="152" t="n"/>
      <c r="F208" s="152">
        <f>ErrMsg.NumericVal</f>
        <v/>
      </c>
      <c r="G208" s="152">
        <f>ErrMsg.alphanumeric</f>
        <v/>
      </c>
      <c r="H208" s="152">
        <f>ErrMsg.NumericVal</f>
        <v/>
      </c>
      <c r="I208" s="152">
        <f>ErrMsg.NumericVal</f>
        <v/>
      </c>
      <c r="J208" s="152">
        <f>ErrMsg.NumericVal</f>
        <v/>
      </c>
      <c r="K208" s="152">
        <f>ErrMsg.NumericVal</f>
        <v/>
      </c>
      <c r="L208" s="152" t="n"/>
      <c r="M208" s="152" t="n"/>
      <c r="N208" s="152" t="n"/>
      <c r="O208" s="152" t="n"/>
      <c r="P208" s="152" t="n"/>
      <c r="Q208" s="152" t="n"/>
      <c r="R208" s="152" t="n"/>
    </row>
    <row r="209" ht="34" customHeight="1" s="486">
      <c r="A209" s="151" t="inlineStr">
        <is>
          <t>Validation Rule3</t>
        </is>
      </c>
      <c r="B209" s="152" t="inlineStr">
        <is>
          <t>checkPINDuplication("CarBenefit.ListW",CarBenefit.ListW,"A")</t>
        </is>
      </c>
      <c r="C209" s="152" t="n"/>
      <c r="D209" s="152" t="n"/>
      <c r="E209" s="152" t="n"/>
      <c r="F209" s="152" t="n"/>
      <c r="G209" s="152" t="n"/>
      <c r="H209" s="152" t="n"/>
      <c r="I209" s="152" t="n"/>
      <c r="J209" s="152" t="n"/>
      <c r="K209" s="152" t="n"/>
      <c r="L209" s="152" t="n"/>
      <c r="M209" s="152" t="n"/>
      <c r="N209" s="152" t="n"/>
      <c r="O209" s="152" t="n"/>
      <c r="P209" s="152" t="n"/>
      <c r="Q209" s="152" t="n"/>
      <c r="R209" s="152" t="n"/>
    </row>
    <row r="210" ht="34" customHeight="1" s="486">
      <c r="A210" s="151" t="inlineStr">
        <is>
          <t>Error Message</t>
        </is>
      </c>
      <c r="B210" s="152">
        <f>CONCATENATE(B203,ErrMsg.CompareToTaxPayerPin)</f>
        <v/>
      </c>
      <c r="C210" s="152" t="n"/>
      <c r="D210" s="152" t="n"/>
      <c r="E210" s="152" t="n"/>
      <c r="F210" s="152" t="n"/>
      <c r="G210" s="152" t="n"/>
      <c r="H210" s="152" t="n"/>
      <c r="I210" s="152" t="n"/>
      <c r="J210" s="152" t="n"/>
      <c r="K210" s="152" t="n"/>
      <c r="L210" s="152" t="n"/>
      <c r="M210" s="152" t="n"/>
      <c r="N210" s="152" t="n"/>
      <c r="O210" s="152" t="n"/>
      <c r="P210" s="152" t="n"/>
      <c r="Q210" s="152" t="n"/>
      <c r="R210" s="152" t="n"/>
    </row>
    <row r="211" ht="51" customHeight="1" s="486">
      <c r="A211" s="151" t="inlineStr">
        <is>
          <t>Validation Rule4</t>
        </is>
      </c>
      <c r="B211" s="151" t="inlineStr">
        <is>
          <t>IF(RetInf.DeclareWifeIncome="Yes",ValidateRespctiveSectionW(CarBenefit.ListW,"A"),"NE")</t>
        </is>
      </c>
    </row>
    <row r="212" ht="51" customHeight="1" s="486">
      <c r="A212" s="151" t="inlineStr">
        <is>
          <t>Error Message</t>
        </is>
      </c>
      <c r="B212" s="151" t="inlineStr">
        <is>
          <t>The PIN of Employer entered is not available in Section F_Employment_Income</t>
        </is>
      </c>
    </row>
    <row r="214" ht="34" customFormat="1" customHeight="1" s="150">
      <c r="A214" s="149" t="inlineStr">
        <is>
          <t>J_Computation_of_Mortgage</t>
        </is>
      </c>
      <c r="B214" s="149" t="inlineStr">
        <is>
          <t>PIN of Lender</t>
        </is>
      </c>
      <c r="C214" s="149" t="inlineStr">
        <is>
          <t>Name of Lender</t>
        </is>
      </c>
      <c r="D214" s="149" t="inlineStr">
        <is>
          <t>Mortgage Account Number</t>
        </is>
      </c>
      <c r="E214" s="149" t="inlineStr">
        <is>
          <t>Amount Borrowed</t>
        </is>
      </c>
      <c r="F214" s="149" t="inlineStr">
        <is>
          <t>Amount Outstanding at Year End</t>
        </is>
      </c>
      <c r="G214" s="149" t="inlineStr">
        <is>
          <t>Amount of Interest Paid</t>
        </is>
      </c>
      <c r="H214" s="149" t="n"/>
      <c r="I214" s="149" t="n"/>
      <c r="J214" s="149" t="n"/>
      <c r="K214" s="149" t="n"/>
      <c r="L214" s="149" t="n"/>
      <c r="M214" s="149" t="n"/>
      <c r="N214" s="149" t="n"/>
      <c r="O214" s="149" t="n"/>
      <c r="P214" s="149" t="n"/>
      <c r="Q214" s="149" t="n"/>
      <c r="R214" s="149" t="inlineStr">
        <is>
          <t>Section J : Computation of Mortgage Interest (Self)</t>
        </is>
      </c>
    </row>
    <row r="215" ht="17" customHeight="1" s="486">
      <c r="A215" s="151" t="inlineStr">
        <is>
          <t>Mandatory</t>
        </is>
      </c>
      <c r="B215" s="151" t="inlineStr">
        <is>
          <t>Y</t>
        </is>
      </c>
      <c r="C215" s="151" t="inlineStr">
        <is>
          <t>Y</t>
        </is>
      </c>
      <c r="D215" s="151" t="inlineStr">
        <is>
          <t>Y</t>
        </is>
      </c>
      <c r="E215" s="151" t="inlineStr">
        <is>
          <t>Y</t>
        </is>
      </c>
      <c r="F215" s="151" t="inlineStr">
        <is>
          <t>Y</t>
        </is>
      </c>
      <c r="G215" s="151" t="inlineStr">
        <is>
          <t>Y</t>
        </is>
      </c>
    </row>
    <row r="216" ht="34" customHeight="1" s="486">
      <c r="A216" s="151" t="inlineStr">
        <is>
          <t>Validation Rule1</t>
        </is>
      </c>
      <c r="B216" s="151" t="inlineStr">
        <is>
          <t>isMandatory(MortgageIntDtls.ListS,B215,"A")</t>
        </is>
      </c>
      <c r="C216" s="151" t="inlineStr">
        <is>
          <t>isMandatory(MortgageIntDtls.ListS,C215,"B")</t>
        </is>
      </c>
      <c r="D216" s="151" t="inlineStr">
        <is>
          <t>isMandatory(MortgageIntDtls.ListS,D215,"C")</t>
        </is>
      </c>
      <c r="E216" s="151" t="inlineStr">
        <is>
          <t>isMandatory(MortgageIntDtls.ListS,E215,"D")</t>
        </is>
      </c>
      <c r="F216" s="151" t="inlineStr">
        <is>
          <t>isMandatory(MortgageIntDtls.ListS,F215,"E")</t>
        </is>
      </c>
      <c r="G216" s="151" t="inlineStr">
        <is>
          <t>isMandatory(MortgageIntDtls.ListS,G215,"F")</t>
        </is>
      </c>
    </row>
    <row r="217" ht="34" customHeight="1" s="486">
      <c r="A217" s="151" t="inlineStr">
        <is>
          <t>Error Message</t>
        </is>
      </c>
      <c r="B217" s="151">
        <f>CONCATENATE(B214,ErrMsg.Mandatory)</f>
        <v/>
      </c>
      <c r="C217" s="151">
        <f>CONCATENATE(C214,ErrMsg.Mandatory)</f>
        <v/>
      </c>
      <c r="D217" s="151">
        <f>CONCATENATE(D214,ErrMsg.Mandatory)</f>
        <v/>
      </c>
      <c r="E217" s="151">
        <f>CONCATENATE(E214,ErrMsg.Mandatory)</f>
        <v/>
      </c>
      <c r="F217" s="151">
        <f>CONCATENATE(F214,ErrMsg.Mandatory)</f>
        <v/>
      </c>
      <c r="G217" s="151">
        <f>CONCATENATE(G214,ErrMsg.Mandatory)</f>
        <v/>
      </c>
      <c r="H217" s="152" t="n"/>
      <c r="I217" s="152" t="n"/>
      <c r="J217" s="152" t="n"/>
      <c r="K217" s="152" t="n"/>
      <c r="L217" s="152" t="n"/>
      <c r="M217" s="152" t="n"/>
      <c r="N217" s="152" t="n"/>
      <c r="O217" s="152" t="n"/>
      <c r="P217" s="152" t="n"/>
      <c r="Q217" s="152" t="n"/>
      <c r="R217" s="152" t="n"/>
    </row>
    <row r="218" ht="34" customHeight="1" s="486">
      <c r="A218" s="151" t="inlineStr">
        <is>
          <t>Validation Rule2</t>
        </is>
      </c>
      <c r="B218" s="152" t="inlineStr">
        <is>
          <t>validatePIN(MortgageIntDtls.ListS,"A")</t>
        </is>
      </c>
      <c r="C218" s="152" t="inlineStr">
        <is>
          <t>validateAlphaNumeric(MortgageIntDtls.ListS,"B")</t>
        </is>
      </c>
      <c r="D218" s="152" t="inlineStr">
        <is>
          <t>validateAlphaNumericOnly(MortgageIntDtls.ListS,"C")</t>
        </is>
      </c>
      <c r="E218" s="152" t="inlineStr">
        <is>
          <t>validateCurrencyFormat(MortgageIntDtls.ListS,"D")</t>
        </is>
      </c>
      <c r="F218" s="152" t="inlineStr">
        <is>
          <t>validateCurrencyFormat(MortgageIntDtls.ListS,"E")</t>
        </is>
      </c>
      <c r="G218" s="152" t="inlineStr">
        <is>
          <t>validateCurrencyFormat(MortgageIntDtls.ListS,"F")</t>
        </is>
      </c>
      <c r="H218" s="152" t="n"/>
      <c r="I218" s="152" t="n"/>
      <c r="J218" s="152" t="n"/>
      <c r="K218" s="152" t="n"/>
      <c r="L218" s="152" t="n"/>
      <c r="M218" s="152" t="n"/>
      <c r="N218" s="152" t="n"/>
      <c r="O218" s="152" t="n"/>
      <c r="P218" s="152" t="n"/>
      <c r="Q218" s="152" t="n"/>
      <c r="R218" s="152" t="n"/>
    </row>
    <row r="219" ht="51" customHeight="1" s="486">
      <c r="A219" s="151" t="inlineStr">
        <is>
          <t>Error Message</t>
        </is>
      </c>
      <c r="B219" s="152">
        <f>CONCATENATE("Please enter ",B214,ErrMsg.PinFormat)</f>
        <v/>
      </c>
      <c r="C219" s="152">
        <f>ErrMsg.alphanumeric</f>
        <v/>
      </c>
      <c r="D219" s="152">
        <f>ErrMsg.alphanumericonly</f>
        <v/>
      </c>
      <c r="E219" s="152">
        <f>ErrMsg.NumericVal</f>
        <v/>
      </c>
      <c r="F219" s="152">
        <f>ErrMsg.NumericVal</f>
        <v/>
      </c>
      <c r="G219" s="152">
        <f>ErrMsg.NumericVal</f>
        <v/>
      </c>
      <c r="H219" s="152" t="n"/>
      <c r="I219" s="152" t="n"/>
      <c r="J219" s="152" t="n"/>
      <c r="K219" s="152" t="n"/>
      <c r="L219" s="152" t="n"/>
      <c r="M219" s="152" t="n"/>
      <c r="N219" s="152" t="n"/>
      <c r="O219" s="152" t="n"/>
      <c r="P219" s="152" t="n"/>
      <c r="Q219" s="152" t="n"/>
      <c r="R219" s="152" t="n"/>
    </row>
    <row r="220" ht="51" customHeight="1" s="486">
      <c r="A220" s="151" t="inlineStr">
        <is>
          <t>Validation Rule3</t>
        </is>
      </c>
      <c r="B220" s="152" t="inlineStr">
        <is>
          <t>checkPINDuplication("MortgageIntDtls.ListS",MortgageIntDtls.ListS,"A")</t>
        </is>
      </c>
      <c r="C220" s="152" t="n"/>
      <c r="D220" s="152" t="n"/>
      <c r="E220" s="152" t="n"/>
      <c r="F220" s="152" t="n"/>
      <c r="G220" s="152" t="n"/>
      <c r="H220" s="152" t="n"/>
      <c r="I220" s="152" t="n"/>
      <c r="J220" s="152" t="n"/>
      <c r="K220" s="152" t="n"/>
      <c r="L220" s="152" t="n"/>
      <c r="M220" s="152" t="n"/>
      <c r="Q220" s="152" t="n"/>
    </row>
    <row r="221" ht="34" customHeight="1" s="486">
      <c r="A221" s="151" t="inlineStr">
        <is>
          <t>Error Message</t>
        </is>
      </c>
      <c r="B221" s="152">
        <f>CONCATENATE(B214,ErrMsg.CompareToTaxPayerPin)</f>
        <v/>
      </c>
      <c r="C221" s="152" t="n"/>
      <c r="D221" s="152" t="n"/>
      <c r="E221" s="152" t="n"/>
      <c r="F221" s="152" t="n"/>
      <c r="G221" s="152" t="n"/>
      <c r="H221" s="152" t="n"/>
      <c r="I221" s="152" t="n"/>
      <c r="J221" s="152" t="n"/>
      <c r="K221" s="152" t="n"/>
      <c r="L221" s="152" t="n"/>
      <c r="M221" s="152" t="n"/>
      <c r="Q221" s="152" t="n"/>
    </row>
    <row r="223" ht="34" customFormat="1" customHeight="1" s="150">
      <c r="A223" s="149" t="inlineStr">
        <is>
          <t>J_Computation_of_Mortgage</t>
        </is>
      </c>
      <c r="B223" s="149" t="inlineStr">
        <is>
          <t>PIN of Lender</t>
        </is>
      </c>
      <c r="C223" s="149" t="inlineStr">
        <is>
          <t>Name of Lender</t>
        </is>
      </c>
      <c r="D223" s="149" t="inlineStr">
        <is>
          <t>Mortgage Account Number</t>
        </is>
      </c>
      <c r="E223" s="149" t="inlineStr">
        <is>
          <t>Amount Borrowed</t>
        </is>
      </c>
      <c r="F223" s="149" t="inlineStr">
        <is>
          <t>Amount Outstanding at Year End</t>
        </is>
      </c>
      <c r="G223" s="149" t="inlineStr">
        <is>
          <t>Amount of Interest Paid</t>
        </is>
      </c>
      <c r="H223" s="149" t="n"/>
      <c r="I223" s="149" t="n"/>
      <c r="J223" s="149" t="n"/>
      <c r="K223" s="149" t="n"/>
      <c r="L223" s="149" t="n"/>
      <c r="M223" s="149" t="n"/>
      <c r="N223" s="149" t="n"/>
      <c r="O223" s="149" t="n"/>
      <c r="P223" s="149" t="n"/>
      <c r="Q223" s="149" t="n"/>
      <c r="R223" s="149" t="inlineStr">
        <is>
          <t>Section J : Computation of Mortgage Interest (Wife)</t>
        </is>
      </c>
    </row>
    <row r="224" ht="17" customHeight="1" s="486">
      <c r="A224" s="151" t="inlineStr">
        <is>
          <t>Mandatory</t>
        </is>
      </c>
      <c r="B224" s="151" t="inlineStr">
        <is>
          <t>Y</t>
        </is>
      </c>
      <c r="C224" s="151" t="inlineStr">
        <is>
          <t>Y</t>
        </is>
      </c>
      <c r="D224" s="151" t="inlineStr">
        <is>
          <t>Y</t>
        </is>
      </c>
      <c r="E224" s="151" t="inlineStr">
        <is>
          <t>Y</t>
        </is>
      </c>
      <c r="F224" s="151" t="inlineStr">
        <is>
          <t>Y</t>
        </is>
      </c>
      <c r="G224" s="151" t="inlineStr">
        <is>
          <t>Y</t>
        </is>
      </c>
    </row>
    <row r="225" ht="51" customHeight="1" s="486">
      <c r="A225" s="151" t="inlineStr">
        <is>
          <t>Validation Rule1</t>
        </is>
      </c>
      <c r="B225" s="151" t="inlineStr">
        <is>
          <t>IF(RetInf.DeclareWifeIncome="Yes",isMandatory(MortgageIntDtls.ListW,B224,"A"),"NE")</t>
        </is>
      </c>
      <c r="C225" s="151" t="inlineStr">
        <is>
          <t>IF(RetInf.DeclareWifeIncome="Yes",isMandatory(MortgageIntDtls.ListW,C224,"B"),"NE")</t>
        </is>
      </c>
      <c r="D225" s="151" t="inlineStr">
        <is>
          <t>IF(RetInf.DeclareWifeIncome="Yes",isMandatory(MortgageIntDtls.ListW,D224,"C"),"NE")</t>
        </is>
      </c>
      <c r="E225" s="151" t="inlineStr">
        <is>
          <t>IF(RetInf.DeclareWifeIncome="Yes",isMandatory(MortgageIntDtls.ListW,E224,"D"),"NE")</t>
        </is>
      </c>
      <c r="F225" s="151" t="inlineStr">
        <is>
          <t>IF(RetInf.DeclareWifeIncome="Yes",isMandatory(MortgageIntDtls.ListW,F224,"E"),"NE")</t>
        </is>
      </c>
      <c r="G225" s="151" t="inlineStr">
        <is>
          <t>IF(RetInf.DeclareWifeIncome="Yes",isMandatory(MortgageIntDtls.ListW,G224,"F"),"NE")</t>
        </is>
      </c>
    </row>
    <row r="226" ht="34" customHeight="1" s="486">
      <c r="A226" s="151" t="inlineStr">
        <is>
          <t>Error Message</t>
        </is>
      </c>
      <c r="B226" s="151">
        <f>CONCATENATE(B223,ErrMsg.Mandatory)</f>
        <v/>
      </c>
      <c r="C226" s="151">
        <f>CONCATENATE(C223,ErrMsg.Mandatory)</f>
        <v/>
      </c>
      <c r="D226" s="151">
        <f>CONCATENATE(D223,ErrMsg.Mandatory)</f>
        <v/>
      </c>
      <c r="E226" s="151">
        <f>CONCATENATE(E223,ErrMsg.Mandatory)</f>
        <v/>
      </c>
      <c r="F226" s="151">
        <f>CONCATENATE(F223,ErrMsg.Mandatory)</f>
        <v/>
      </c>
      <c r="G226" s="151">
        <f>CONCATENATE(G223,ErrMsg.Mandatory)</f>
        <v/>
      </c>
      <c r="H226" s="152" t="n"/>
      <c r="I226" s="152" t="n"/>
      <c r="J226" s="152" t="n"/>
      <c r="K226" s="152" t="n"/>
      <c r="L226" s="152" t="n"/>
      <c r="M226" s="152" t="n"/>
      <c r="N226" s="152" t="n"/>
      <c r="O226" s="152" t="n"/>
      <c r="P226" s="152" t="n"/>
      <c r="Q226" s="152" t="n"/>
      <c r="R226" s="152" t="n"/>
    </row>
    <row r="227" ht="51" customHeight="1" s="486">
      <c r="A227" s="151" t="inlineStr">
        <is>
          <t>Validation Rule2</t>
        </is>
      </c>
      <c r="B227" s="152" t="inlineStr">
        <is>
          <t>IF(RetInf.DeclareWifeIncome="Yes",validatePIN(MortgageIntDtls.ListW,"A"),"NE")</t>
        </is>
      </c>
      <c r="C227" s="152" t="inlineStr">
        <is>
          <t>IF(RetInf.DeclareWifeIncome="Yes",validateAlphaNumeric(MortgageIntDtls.ListW,"B"),"NE")</t>
        </is>
      </c>
      <c r="D227" s="152" t="inlineStr">
        <is>
          <t>IF(RetInf.DeclareWifeIncome="Yes",validateAlphaNumericOnly(MortgageIntDtls.ListW,"C"),"NE")</t>
        </is>
      </c>
      <c r="E227" s="152" t="inlineStr">
        <is>
          <t>IF(RetInf.DeclareWifeIncome="Yes",validateCurrencyFormat(MortgageIntDtls.ListW,"D"),"NE")</t>
        </is>
      </c>
      <c r="F227" s="152" t="inlineStr">
        <is>
          <t>IF(RetInf.DeclareWifeIncome="Yes",validateCurrencyFormat(MortgageIntDtls.ListW,"E"),"NE")</t>
        </is>
      </c>
      <c r="G227" s="152" t="inlineStr">
        <is>
          <t>IF(RetInf.DeclareWifeIncome="Yes",validateCurrencyFormat(MortgageIntDtls.ListW,"F"),"NE")</t>
        </is>
      </c>
      <c r="H227" s="152" t="n"/>
      <c r="I227" s="152" t="n"/>
      <c r="J227" s="152" t="n"/>
      <c r="K227" s="152" t="n"/>
      <c r="L227" s="152" t="n"/>
      <c r="M227" s="152" t="n"/>
      <c r="N227" s="152" t="n"/>
      <c r="O227" s="152" t="n"/>
      <c r="P227" s="152" t="n"/>
      <c r="Q227" s="152" t="n"/>
      <c r="R227" s="152" t="n"/>
    </row>
    <row r="228" ht="51" customHeight="1" s="486">
      <c r="A228" s="151" t="inlineStr">
        <is>
          <t>Error Message</t>
        </is>
      </c>
      <c r="B228" s="152">
        <f>CONCATENATE("Please enter ",B223,ErrMsg.PinFormat)</f>
        <v/>
      </c>
      <c r="C228" s="152">
        <f>ErrMsg.alphanumeric</f>
        <v/>
      </c>
      <c r="D228" s="152">
        <f>ErrMsg.alphanumericonly</f>
        <v/>
      </c>
      <c r="E228" s="152">
        <f>ErrMsg.NumericVal</f>
        <v/>
      </c>
      <c r="F228" s="152">
        <f>ErrMsg.NumericVal</f>
        <v/>
      </c>
      <c r="G228" s="152">
        <f>ErrMsg.NumericVal</f>
        <v/>
      </c>
      <c r="H228" s="152" t="n"/>
      <c r="I228" s="152" t="n"/>
      <c r="J228" s="152" t="n"/>
      <c r="K228" s="152" t="n"/>
      <c r="L228" s="152" t="n"/>
      <c r="M228" s="152" t="n"/>
      <c r="N228" s="152" t="n"/>
      <c r="O228" s="152" t="n"/>
      <c r="P228" s="152" t="n"/>
      <c r="Q228" s="152" t="n"/>
      <c r="R228" s="152" t="n"/>
    </row>
    <row r="229" ht="51" customHeight="1" s="486">
      <c r="A229" s="151" t="inlineStr">
        <is>
          <t>Validation Rule3</t>
        </is>
      </c>
      <c r="B229" s="152" t="inlineStr">
        <is>
          <t>checkPINDuplication("MortgageIntDtls.ListW",MortgageIntDtls.ListW,"A")</t>
        </is>
      </c>
      <c r="C229" s="152" t="n"/>
      <c r="D229" s="152" t="n"/>
      <c r="E229" s="152" t="n"/>
      <c r="F229" s="152" t="n"/>
      <c r="G229" s="152" t="n"/>
      <c r="H229" s="152" t="n"/>
      <c r="I229" s="152" t="n"/>
      <c r="J229" s="152" t="n"/>
      <c r="K229" s="152" t="n"/>
      <c r="L229" s="152" t="n"/>
      <c r="M229" s="152" t="n"/>
      <c r="Q229" s="152" t="n"/>
    </row>
    <row r="230" ht="34" customHeight="1" s="486">
      <c r="A230" s="151" t="inlineStr">
        <is>
          <t>Error Message</t>
        </is>
      </c>
      <c r="B230" s="152">
        <f>CONCATENATE(B223,ErrMsg.CompareToTaxPayerPin)</f>
        <v/>
      </c>
      <c r="C230" s="152" t="n"/>
      <c r="D230" s="152" t="n"/>
      <c r="E230" s="152" t="n"/>
      <c r="F230" s="152" t="n"/>
      <c r="G230" s="152" t="n"/>
      <c r="H230" s="152" t="n"/>
      <c r="I230" s="152" t="n"/>
      <c r="J230" s="152" t="n"/>
      <c r="K230" s="152" t="n"/>
      <c r="L230" s="152" t="n"/>
      <c r="M230" s="152" t="n"/>
      <c r="Q230" s="152" t="n"/>
    </row>
    <row r="232" ht="51" customFormat="1" customHeight="1" s="150">
      <c r="A232" s="149" t="inlineStr">
        <is>
          <t>K_Home_Ownership_Saving_Plan</t>
        </is>
      </c>
      <c r="B232" s="149" t="inlineStr">
        <is>
          <t>Financial Institution PIN</t>
        </is>
      </c>
      <c r="C232" s="149" t="inlineStr">
        <is>
          <t>Financial Institution Name</t>
        </is>
      </c>
      <c r="D232" s="149" t="inlineStr">
        <is>
          <t>Account Number</t>
        </is>
      </c>
      <c r="E232" s="149" t="inlineStr">
        <is>
          <t>Total Deposit for the Year</t>
        </is>
      </c>
      <c r="F232" s="149" t="n"/>
      <c r="G232" s="149" t="n"/>
      <c r="H232" s="149" t="n"/>
      <c r="I232" s="149" t="n"/>
      <c r="J232" s="149" t="n"/>
      <c r="K232" s="149" t="n"/>
      <c r="L232" s="149" t="n"/>
      <c r="M232" s="149" t="n"/>
      <c r="N232" s="149" t="n"/>
      <c r="O232" s="149" t="n"/>
      <c r="P232" s="149" t="n"/>
      <c r="Q232" s="149" t="n"/>
      <c r="R232" s="149" t="inlineStr">
        <is>
          <t>Section K : Computation of  Deduction for Home Ownership Saving Plan (Self)</t>
        </is>
      </c>
    </row>
    <row r="233" ht="17" customHeight="1" s="486">
      <c r="A233" s="151" t="inlineStr">
        <is>
          <t>Mandatory</t>
        </is>
      </c>
      <c r="B233" s="151" t="inlineStr">
        <is>
          <t>Y</t>
        </is>
      </c>
      <c r="C233" s="151" t="inlineStr">
        <is>
          <t>Y</t>
        </is>
      </c>
      <c r="D233" s="151" t="inlineStr">
        <is>
          <t>Y</t>
        </is>
      </c>
      <c r="E233" s="151" t="inlineStr">
        <is>
          <t>Y</t>
        </is>
      </c>
    </row>
    <row r="234" ht="34" customHeight="1" s="486">
      <c r="A234" s="151" t="inlineStr">
        <is>
          <t>Validation Rule1</t>
        </is>
      </c>
      <c r="B234" s="151" t="inlineStr">
        <is>
          <t>isMandatory(HomeOwnershipSavingPlan.ListS,B233,"A")</t>
        </is>
      </c>
      <c r="C234" s="151" t="inlineStr">
        <is>
          <t>isMandatory(HomeOwnershipSavingPlan.ListS,C233,"B")</t>
        </is>
      </c>
      <c r="D234" s="151" t="inlineStr">
        <is>
          <t>isMandatory(HomeOwnershipSavingPlan.ListS,D233,"C")</t>
        </is>
      </c>
      <c r="E234" s="151" t="inlineStr">
        <is>
          <t>isMandatory(HomeOwnershipSavingPlan.ListS,E233,"D")</t>
        </is>
      </c>
    </row>
    <row r="235" ht="34" customHeight="1" s="486">
      <c r="A235" s="151" t="inlineStr">
        <is>
          <t>Error Message</t>
        </is>
      </c>
      <c r="B235" s="151">
        <f>CONCATENATE(B232,ErrMsg.Mandatory)</f>
        <v/>
      </c>
      <c r="C235" s="151">
        <f>CONCATENATE(C232,ErrMsg.Mandatory)</f>
        <v/>
      </c>
      <c r="D235" s="151">
        <f>CONCATENATE(D232,ErrMsg.Mandatory)</f>
        <v/>
      </c>
      <c r="E235" s="151">
        <f>CONCATENATE(E232,ErrMsg.Mandatory)</f>
        <v/>
      </c>
      <c r="F235" s="152" t="n"/>
      <c r="G235" s="152" t="n"/>
      <c r="H235" s="152" t="n"/>
      <c r="I235" s="152" t="n"/>
      <c r="J235" s="152" t="n"/>
      <c r="K235" s="152" t="n"/>
      <c r="L235" s="152" t="n"/>
      <c r="M235" s="152" t="n"/>
      <c r="N235" s="152" t="n"/>
      <c r="O235" s="152" t="n"/>
      <c r="P235" s="152" t="n"/>
      <c r="Q235" s="152" t="n"/>
      <c r="R235" s="152" t="n"/>
    </row>
    <row r="236" ht="34" customHeight="1" s="486">
      <c r="A236" s="151" t="inlineStr">
        <is>
          <t>Validation Rule2</t>
        </is>
      </c>
      <c r="B236" s="152" t="inlineStr">
        <is>
          <t>validatePIN(HomeOwnershipSavingPlan.ListS,"A")</t>
        </is>
      </c>
      <c r="C236" s="152" t="inlineStr">
        <is>
          <t>validateAlphaNumeric(HomeOwnershipSavingPlan.ListS,"B")</t>
        </is>
      </c>
      <c r="D236" s="152" t="inlineStr">
        <is>
          <t>validateAlphaNumeric(HomeOwnershipSavingPlan.ListS,"C")</t>
        </is>
      </c>
      <c r="E236" s="152" t="inlineStr">
        <is>
          <t>validateCurrencyFormat(HomeOwnershipSavingPlan.ListS,"D")</t>
        </is>
      </c>
      <c r="F236" s="152" t="n"/>
      <c r="G236" s="152" t="n"/>
      <c r="H236" s="152" t="n"/>
      <c r="I236" s="152" t="n"/>
      <c r="J236" s="152" t="n"/>
      <c r="K236" s="152" t="n"/>
      <c r="L236" s="152" t="n"/>
      <c r="M236" s="152" t="n"/>
      <c r="N236" s="152" t="n"/>
      <c r="O236" s="152" t="n"/>
      <c r="P236" s="152" t="n"/>
      <c r="Q236" s="152" t="n"/>
      <c r="R236" s="152" t="n"/>
    </row>
    <row r="237" ht="51" customHeight="1" s="486">
      <c r="A237" s="151" t="inlineStr">
        <is>
          <t>Error Message</t>
        </is>
      </c>
      <c r="B237" s="152">
        <f>CONCATENATE("Please enter ",B232,ErrMsg.PinFormat)</f>
        <v/>
      </c>
      <c r="C237" s="152">
        <f>ErrMsg.alphanumeric</f>
        <v/>
      </c>
      <c r="D237" s="152">
        <f>ErrMsg.alphanumeric</f>
        <v/>
      </c>
      <c r="E237" s="152">
        <f>ErrMsg.NumericVal</f>
        <v/>
      </c>
      <c r="F237" s="152" t="n"/>
      <c r="G237" s="152" t="n"/>
      <c r="H237" s="152" t="n"/>
      <c r="I237" s="152" t="n"/>
      <c r="J237" s="152" t="n"/>
      <c r="K237" s="152" t="n"/>
      <c r="L237" s="152" t="n"/>
      <c r="M237" s="152" t="n"/>
      <c r="N237" s="152" t="n"/>
      <c r="O237" s="152" t="n"/>
      <c r="P237" s="152" t="n"/>
      <c r="Q237" s="152" t="n"/>
      <c r="R237" s="152" t="n"/>
    </row>
    <row r="238" ht="51" customHeight="1" s="486">
      <c r="A238" s="151" t="inlineStr">
        <is>
          <t>Validation Rule3</t>
        </is>
      </c>
      <c r="B238" s="152" t="inlineStr">
        <is>
          <t>checkPINDuplication("HomeOwnershipSavingPlan.ListS",HomeOwnershipSavingPlan.ListS,"A")</t>
        </is>
      </c>
      <c r="C238" s="152" t="n"/>
      <c r="D238" s="152" t="n"/>
      <c r="E238" s="152" t="n"/>
      <c r="F238" s="152" t="n"/>
      <c r="G238" s="152" t="n"/>
      <c r="H238" s="152" t="n"/>
      <c r="I238" s="152" t="n"/>
      <c r="J238" s="152" t="n"/>
      <c r="K238" s="152" t="n"/>
      <c r="L238" s="152" t="n"/>
      <c r="M238" s="152" t="n"/>
      <c r="Q238" s="152" t="n"/>
    </row>
    <row r="239" ht="34" customHeight="1" s="486">
      <c r="A239" s="151" t="inlineStr">
        <is>
          <t>Error Message</t>
        </is>
      </c>
      <c r="B239" s="152">
        <f>CONCATENATE(B232,ErrMsg.CompareToTaxPayerPin)</f>
        <v/>
      </c>
      <c r="C239" s="152" t="n"/>
      <c r="D239" s="152" t="n"/>
      <c r="E239" s="152" t="n"/>
      <c r="F239" s="152" t="n"/>
      <c r="G239" s="152" t="n"/>
      <c r="H239" s="152" t="n"/>
      <c r="I239" s="152" t="n"/>
      <c r="J239" s="152" t="n"/>
      <c r="K239" s="152" t="n"/>
      <c r="L239" s="152" t="n"/>
      <c r="M239" s="152" t="n"/>
      <c r="Q239" s="152" t="n"/>
    </row>
    <row r="240">
      <c r="A240" s="151" t="n"/>
    </row>
    <row r="241" ht="51" customFormat="1" customHeight="1" s="150">
      <c r="A241" s="149" t="inlineStr">
        <is>
          <t>K_Home_Ownership_Saving_Plan</t>
        </is>
      </c>
      <c r="B241" s="149" t="inlineStr">
        <is>
          <t>Financial Institution PIN</t>
        </is>
      </c>
      <c r="C241" s="149" t="inlineStr">
        <is>
          <t>Financial Institution Name</t>
        </is>
      </c>
      <c r="D241" s="149" t="inlineStr">
        <is>
          <t>Account Number</t>
        </is>
      </c>
      <c r="E241" s="149" t="inlineStr">
        <is>
          <t>Total Deposit for the Year</t>
        </is>
      </c>
      <c r="F241" s="149" t="n"/>
      <c r="G241" s="149" t="n"/>
      <c r="H241" s="149" t="n"/>
      <c r="I241" s="149" t="n"/>
      <c r="J241" s="149" t="n"/>
      <c r="K241" s="149" t="n"/>
      <c r="L241" s="149" t="n"/>
      <c r="M241" s="149" t="n"/>
      <c r="N241" s="149" t="n"/>
      <c r="O241" s="149" t="n"/>
      <c r="P241" s="149" t="n"/>
      <c r="Q241" s="149" t="n"/>
      <c r="R241" s="149" t="inlineStr">
        <is>
          <t>Section K : Computation of  Deduction for Home Ownership Saving Plan (Wife)</t>
        </is>
      </c>
    </row>
    <row r="242" ht="17" customHeight="1" s="486">
      <c r="A242" s="151" t="inlineStr">
        <is>
          <t>Mandatory</t>
        </is>
      </c>
      <c r="B242" s="151" t="inlineStr">
        <is>
          <t>Y</t>
        </is>
      </c>
      <c r="C242" s="151" t="inlineStr">
        <is>
          <t>Y</t>
        </is>
      </c>
      <c r="D242" s="151" t="inlineStr">
        <is>
          <t>Y</t>
        </is>
      </c>
      <c r="E242" s="151" t="inlineStr">
        <is>
          <t>Y</t>
        </is>
      </c>
    </row>
    <row r="243" ht="51" customHeight="1" s="486">
      <c r="A243" s="151" t="inlineStr">
        <is>
          <t>Validation Rule1</t>
        </is>
      </c>
      <c r="B243" s="151" t="inlineStr">
        <is>
          <t>IF(RetInf.DeclareWifeIncome="Yes",isMandatory(HomeOwnershipSavingPlan.ListW,B242,"A"),"NE")</t>
        </is>
      </c>
      <c r="C243" s="151" t="inlineStr">
        <is>
          <t>IF(RetInf.DeclareWifeIncome="Yes",isMandatory(HomeOwnershipSavingPlan.ListW,C242,"B"),"NE")</t>
        </is>
      </c>
      <c r="D243" s="151" t="inlineStr">
        <is>
          <t>IF(RetInf.DeclareWifeIncome="Yes",isMandatory(HomeOwnershipSavingPlan.ListW,D242,"C"),"NE")</t>
        </is>
      </c>
      <c r="E243" s="151" t="inlineStr">
        <is>
          <t>IF(RetInf.DeclareWifeIncome="Yes",isMandatory(HomeOwnershipSavingPlan.ListW,E242,"D"),"NE")</t>
        </is>
      </c>
    </row>
    <row r="244" ht="34" customHeight="1" s="486">
      <c r="A244" s="151" t="inlineStr">
        <is>
          <t>Error Message</t>
        </is>
      </c>
      <c r="B244" s="151">
        <f>CONCATENATE(B241,ErrMsg.Mandatory)</f>
        <v/>
      </c>
      <c r="C244" s="151">
        <f>CONCATENATE(C241,ErrMsg.Mandatory)</f>
        <v/>
      </c>
      <c r="D244" s="151">
        <f>CONCATENATE(D241,ErrMsg.Mandatory)</f>
        <v/>
      </c>
      <c r="E244" s="151">
        <f>CONCATENATE(E241,ErrMsg.Mandatory)</f>
        <v/>
      </c>
      <c r="F244" s="152" t="n"/>
      <c r="G244" s="152" t="n"/>
      <c r="H244" s="152" t="n"/>
      <c r="I244" s="152" t="n"/>
      <c r="J244" s="152" t="n"/>
      <c r="K244" s="152" t="n"/>
      <c r="L244" s="152" t="n"/>
      <c r="M244" s="152" t="n"/>
      <c r="N244" s="152" t="n"/>
      <c r="O244" s="152" t="n"/>
      <c r="P244" s="152" t="n"/>
      <c r="Q244" s="152" t="n"/>
      <c r="R244" s="152" t="n"/>
    </row>
    <row r="245" ht="51" customHeight="1" s="486">
      <c r="A245" s="151" t="inlineStr">
        <is>
          <t>Validation Rule2</t>
        </is>
      </c>
      <c r="B245" s="152" t="inlineStr">
        <is>
          <t>IF(RetInf.DeclareWifeIncome="Yes",validatePIN(HomeOwnershipSavingPlan.ListW,"A"),"NE")</t>
        </is>
      </c>
      <c r="C245" s="152" t="inlineStr">
        <is>
          <t>IF(RetInf.DeclareWifeIncome="Yes",validateAlphaNumeric(HomeOwnershipSavingPlan.ListW,"B"),"NE")</t>
        </is>
      </c>
      <c r="D245" s="152" t="inlineStr">
        <is>
          <t>IF(RetInf.DeclareWifeIncome="Yes",validateAlphaNumeric(HomeOwnershipSavingPlan.ListW,"C"),"NE")</t>
        </is>
      </c>
      <c r="E245" s="152" t="inlineStr">
        <is>
          <t>IF(RetInf.DeclareWifeIncome="Yes",validateCurrencyFormat(HomeOwnershipSavingPlan.ListW,"D"),"NE")</t>
        </is>
      </c>
      <c r="F245" s="152" t="n"/>
      <c r="G245" s="152" t="n"/>
      <c r="H245" s="152" t="n"/>
      <c r="I245" s="152" t="n"/>
      <c r="J245" s="152" t="n"/>
      <c r="K245" s="152" t="n"/>
      <c r="L245" s="152" t="n"/>
      <c r="M245" s="152" t="n"/>
      <c r="N245" s="152" t="n"/>
      <c r="O245" s="152" t="n"/>
      <c r="P245" s="152" t="n"/>
      <c r="Q245" s="152" t="n"/>
      <c r="R245" s="152" t="n"/>
    </row>
    <row r="246" ht="51" customHeight="1" s="486">
      <c r="A246" s="151" t="inlineStr">
        <is>
          <t>Error Message</t>
        </is>
      </c>
      <c r="B246" s="152">
        <f>CONCATENATE("Please enter ",B241,ErrMsg.PinFormat)</f>
        <v/>
      </c>
      <c r="C246" s="152">
        <f>ErrMsg.alphanumeric</f>
        <v/>
      </c>
      <c r="D246" s="152">
        <f>ErrMsg.alphanumeric</f>
        <v/>
      </c>
      <c r="E246" s="152">
        <f>ErrMsg.NumericVal</f>
        <v/>
      </c>
      <c r="F246" s="152" t="n"/>
      <c r="G246" s="152" t="n"/>
      <c r="H246" s="152" t="n"/>
      <c r="I246" s="152" t="n"/>
      <c r="J246" s="152" t="n"/>
      <c r="K246" s="152" t="n"/>
      <c r="L246" s="152" t="n"/>
      <c r="M246" s="152" t="n"/>
      <c r="N246" s="152" t="n"/>
      <c r="O246" s="152" t="n"/>
      <c r="P246" s="152" t="n"/>
      <c r="Q246" s="152" t="n"/>
      <c r="R246" s="152" t="n"/>
    </row>
    <row r="247" ht="51" customHeight="1" s="486">
      <c r="A247" s="151" t="inlineStr">
        <is>
          <t>Validation Rule3</t>
        </is>
      </c>
      <c r="B247" s="152" t="inlineStr">
        <is>
          <t>checkPINDuplication("HomeOwnershipSavingPlan.ListW",HomeOwnershipSavingPlan.ListW,"A")</t>
        </is>
      </c>
      <c r="C247" s="152" t="n"/>
      <c r="D247" s="152" t="n"/>
      <c r="E247" s="152" t="n"/>
      <c r="F247" s="152" t="n"/>
      <c r="G247" s="152" t="n"/>
      <c r="H247" s="152" t="n"/>
      <c r="I247" s="152" t="n"/>
      <c r="J247" s="152" t="n"/>
      <c r="K247" s="152" t="n"/>
      <c r="L247" s="152" t="n"/>
      <c r="M247" s="152" t="n"/>
      <c r="Q247" s="152" t="n"/>
    </row>
    <row r="248" ht="34" customHeight="1" s="486">
      <c r="A248" s="151" t="inlineStr">
        <is>
          <t>Error Message</t>
        </is>
      </c>
      <c r="B248" s="152">
        <f>CONCATENATE(B241,ErrMsg.CompareToTaxPayerPin)</f>
        <v/>
      </c>
      <c r="C248" s="152" t="n"/>
      <c r="D248" s="152" t="n"/>
      <c r="E248" s="152" t="n"/>
      <c r="F248" s="152" t="n"/>
      <c r="G248" s="152" t="n"/>
      <c r="H248" s="152" t="n"/>
      <c r="I248" s="152" t="n"/>
      <c r="J248" s="152" t="n"/>
      <c r="K248" s="152" t="n"/>
      <c r="L248" s="152" t="n"/>
      <c r="M248" s="152" t="n"/>
      <c r="Q248" s="152" t="n"/>
    </row>
    <row r="249">
      <c r="A249" s="151" t="n"/>
    </row>
    <row r="250" ht="34" customFormat="1" customHeight="1" s="150">
      <c r="A250" s="149" t="inlineStr">
        <is>
          <t>L_Computation_of_Insu_Relief</t>
        </is>
      </c>
      <c r="B250" s="171" t="inlineStr">
        <is>
          <t>PIN of Insurance Company</t>
        </is>
      </c>
      <c r="C250" s="171" t="inlineStr">
        <is>
          <t>Name of Insurance Company</t>
        </is>
      </c>
      <c r="D250" s="171" t="inlineStr">
        <is>
          <t>Type of policy 
(Life/Education/ Health)</t>
        </is>
      </c>
      <c r="E250" s="171" t="inlineStr">
        <is>
          <t>Insurance Policy Number</t>
        </is>
      </c>
      <c r="F250" s="171" t="inlineStr">
        <is>
          <t>Policy Holder (Self/Wife/Child)</t>
        </is>
      </c>
      <c r="G250" s="171" t="inlineStr">
        <is>
          <t>Age of Child</t>
        </is>
      </c>
      <c r="H250" s="171" t="inlineStr">
        <is>
          <t>Commencement Date</t>
        </is>
      </c>
      <c r="I250" s="171" t="inlineStr">
        <is>
          <t>Maturity Date</t>
        </is>
      </c>
      <c r="J250" s="171" t="inlineStr">
        <is>
          <t>Sum Assured (Ksh)</t>
        </is>
      </c>
      <c r="K250" s="171" t="inlineStr">
        <is>
          <t>Annual Premium Paid</t>
        </is>
      </c>
      <c r="L250" s="171" t="inlineStr">
        <is>
          <t>Amount of Insurance Relief</t>
        </is>
      </c>
      <c r="M250" s="149" t="n"/>
      <c r="N250" s="149" t="n"/>
      <c r="O250" s="149" t="n"/>
      <c r="P250" s="149" t="n"/>
      <c r="Q250" s="149" t="n"/>
      <c r="R250" s="149" t="inlineStr">
        <is>
          <t>Section L : Computation of  Insurance Relief (Self)</t>
        </is>
      </c>
    </row>
    <row r="251" ht="17" customHeight="1" s="486">
      <c r="A251" s="151" t="inlineStr">
        <is>
          <t>Mandatory</t>
        </is>
      </c>
      <c r="B251" s="151" t="inlineStr">
        <is>
          <t>Y</t>
        </is>
      </c>
      <c r="C251" s="151" t="inlineStr">
        <is>
          <t>Y</t>
        </is>
      </c>
      <c r="D251" s="151" t="inlineStr">
        <is>
          <t>Y</t>
        </is>
      </c>
      <c r="E251" s="151" t="inlineStr">
        <is>
          <t>Y</t>
        </is>
      </c>
      <c r="F251" s="151" t="inlineStr">
        <is>
          <t>Y</t>
        </is>
      </c>
      <c r="G251" s="151" t="inlineStr">
        <is>
          <t>Y</t>
        </is>
      </c>
      <c r="H251" s="151" t="inlineStr">
        <is>
          <t>Y</t>
        </is>
      </c>
      <c r="I251" s="151" t="inlineStr">
        <is>
          <t>Y</t>
        </is>
      </c>
      <c r="J251" s="151" t="inlineStr">
        <is>
          <t>Y</t>
        </is>
      </c>
      <c r="K251" s="151" t="inlineStr">
        <is>
          <t>Y</t>
        </is>
      </c>
      <c r="L251" s="151" t="inlineStr">
        <is>
          <t>Y</t>
        </is>
      </c>
    </row>
    <row r="252" ht="34" customHeight="1" s="486">
      <c r="A252" s="151" t="inlineStr">
        <is>
          <t>Validation Rule1</t>
        </is>
      </c>
      <c r="B252" s="151" t="inlineStr">
        <is>
          <t>isMandatory(InsReliefDtls.ListS,B251,"A")</t>
        </is>
      </c>
      <c r="C252" s="151" t="inlineStr">
        <is>
          <t>isMandatory(InsReliefDtls.ListS,C251,"B")</t>
        </is>
      </c>
      <c r="D252" s="151" t="inlineStr">
        <is>
          <t>isMandatory(InsReliefDtls.ListS,D251,"C")</t>
        </is>
      </c>
      <c r="E252" s="151" t="inlineStr">
        <is>
          <t>isMandatory(InsReliefDtls.ListS,E251,"D")</t>
        </is>
      </c>
      <c r="F252" s="151" t="inlineStr">
        <is>
          <t>isMandatory(InsReliefDtls.ListS,F251,"E")</t>
        </is>
      </c>
      <c r="G252" s="151" t="inlineStr">
        <is>
          <t>isMandatory(InsReliefDtls.ListS,G251,"F")</t>
        </is>
      </c>
      <c r="H252" s="151" t="inlineStr">
        <is>
          <t>isMandatory(InsReliefDtls.ListS,H251,"G")</t>
        </is>
      </c>
      <c r="I252" s="151" t="inlineStr">
        <is>
          <t>isMandatory(InsReliefDtls.ListS,I251,"H")</t>
        </is>
      </c>
      <c r="J252" s="151" t="inlineStr">
        <is>
          <t>isMandatory(InsReliefDtls.ListS,J251,"I")</t>
        </is>
      </c>
      <c r="K252" s="151" t="inlineStr">
        <is>
          <t>isMandatory(InsReliefDtls.ListS,K251,"J")</t>
        </is>
      </c>
      <c r="L252" s="151" t="inlineStr">
        <is>
          <t>isMandatory(InsReliefDtls.ListS,L251,"K")</t>
        </is>
      </c>
    </row>
    <row r="253" ht="51" customHeight="1" s="486">
      <c r="A253" s="151" t="inlineStr">
        <is>
          <t>Error Message</t>
        </is>
      </c>
      <c r="B253" s="151">
        <f>CONCATENATE(B250,ErrMsg.Mandatory)</f>
        <v/>
      </c>
      <c r="C253" s="151">
        <f>CONCATENATE(C250,ErrMsg.Mandatory)</f>
        <v/>
      </c>
      <c r="D253" s="151">
        <f>CONCATENATE(D250,ErrMsg.Mandatory)</f>
        <v/>
      </c>
      <c r="E253" s="151">
        <f>CONCATENATE(E250,ErrMsg.Mandatory)</f>
        <v/>
      </c>
      <c r="F253" s="151">
        <f>CONCATENATE(F250,ErrMsg.Mandatory)</f>
        <v/>
      </c>
      <c r="G253" s="151">
        <f>CONCATENATE(G250,ErrMsg.Mandatory)</f>
        <v/>
      </c>
      <c r="H253" s="151">
        <f>CONCATENATE(H250,ErrMsg.Mandatory)</f>
        <v/>
      </c>
      <c r="I253" s="151">
        <f>CONCATENATE(I250,ErrMsg.Mandatory)</f>
        <v/>
      </c>
      <c r="J253" s="151">
        <f>CONCATENATE(J250,ErrMsg.Mandatory)</f>
        <v/>
      </c>
      <c r="K253" s="151">
        <f>CONCATENATE(K250,ErrMsg.Mandatory)</f>
        <v/>
      </c>
      <c r="L253" s="151">
        <f>CONCATENATE(L250,ErrMsg.Mandatory)</f>
        <v/>
      </c>
      <c r="M253" s="152" t="n"/>
      <c r="N253" s="152" t="n"/>
      <c r="O253" s="152" t="n"/>
      <c r="P253" s="152" t="n"/>
      <c r="Q253" s="152" t="n"/>
      <c r="R253" s="152" t="n"/>
    </row>
    <row r="254" ht="34" customHeight="1" s="486">
      <c r="A254" s="151" t="inlineStr">
        <is>
          <t>Validation Rule2</t>
        </is>
      </c>
      <c r="B254" s="152" t="inlineStr">
        <is>
          <t>validatePIN(InsReliefDtls.ListS,"A")</t>
        </is>
      </c>
      <c r="C254" s="152" t="inlineStr">
        <is>
          <t>validateAlphaNumeric(InsReliefDtls.ListS,"B")</t>
        </is>
      </c>
      <c r="D254" s="152" t="inlineStr">
        <is>
          <t>validateAlphaNumeric(InsReliefDtls.ListS,"C")</t>
        </is>
      </c>
      <c r="E254" s="152" t="inlineStr">
        <is>
          <t>validateAlphaNumeric(InsReliefDtls.ListS,"D")</t>
        </is>
      </c>
      <c r="F254" s="152" t="inlineStr">
        <is>
          <t>validateAlphaNumeric(InsReliefDtls.ListS,"E")</t>
        </is>
      </c>
      <c r="G254" s="152" t="inlineStr">
        <is>
          <t>validateNumeric(InsReliefDtls.ListS,"F")</t>
        </is>
      </c>
      <c r="H254" s="152" t="inlineStr">
        <is>
          <t>validateDate(InsReliefDtls.ListS,"G")</t>
        </is>
      </c>
      <c r="I254" s="152" t="inlineStr">
        <is>
          <t>validateDate(InsReliefDtls.ListS,"H")</t>
        </is>
      </c>
      <c r="J254" s="152" t="inlineStr">
        <is>
          <t>validateCurrencyFormat(InsReliefDtls.ListS,"I")</t>
        </is>
      </c>
      <c r="K254" s="152" t="inlineStr">
        <is>
          <t>validateCurrencyFormat(InsReliefDtls.ListS,"J")</t>
        </is>
      </c>
      <c r="L254" s="152" t="inlineStr">
        <is>
          <t>validateCurrencyFormat(InsReliefDtls.ListS,"K")</t>
        </is>
      </c>
      <c r="M254" s="152" t="n"/>
      <c r="N254" s="152" t="n"/>
      <c r="O254" s="152" t="n"/>
      <c r="P254" s="152" t="n"/>
      <c r="Q254" s="152" t="n"/>
      <c r="R254" s="152" t="n"/>
    </row>
    <row r="255" ht="51" customHeight="1" s="486">
      <c r="A255" s="151" t="inlineStr">
        <is>
          <t>Error Message</t>
        </is>
      </c>
      <c r="B255" s="152">
        <f>CONCATENATE("Please enter ",B250,ErrMsg.PinFormat)</f>
        <v/>
      </c>
      <c r="C255" s="152">
        <f>ErrMsg.alphanumeric</f>
        <v/>
      </c>
      <c r="D255" s="152">
        <f>ErrMsg.alphanumeric</f>
        <v/>
      </c>
      <c r="E255" s="152">
        <f>ErrMsg.alphanumeric</f>
        <v/>
      </c>
      <c r="F255" s="152">
        <f>ErrMsg.alphanumeric</f>
        <v/>
      </c>
      <c r="G255" s="152">
        <f>ErrMsg.NumericVal</f>
        <v/>
      </c>
      <c r="H255" s="152" t="inlineStr">
        <is>
          <t>Please enter date in proper format</t>
        </is>
      </c>
      <c r="I255" s="152" t="inlineStr">
        <is>
          <t>Please enter date in proper format</t>
        </is>
      </c>
      <c r="J255" s="152">
        <f>ErrMsg.NumericVal</f>
        <v/>
      </c>
      <c r="K255" s="152">
        <f>ErrMsg.NumericVal</f>
        <v/>
      </c>
      <c r="L255" s="152">
        <f>ErrMsg.NumericVal</f>
        <v/>
      </c>
      <c r="M255" s="152" t="n"/>
      <c r="N255" s="152" t="n"/>
      <c r="O255" s="152" t="n"/>
      <c r="P255" s="152" t="n"/>
      <c r="Q255" s="152" t="n"/>
      <c r="R255" s="152" t="n"/>
    </row>
    <row r="256" ht="34" customHeight="1" s="486">
      <c r="A256" s="151" t="inlineStr">
        <is>
          <t>Validation Rule3</t>
        </is>
      </c>
      <c r="B256" s="152" t="inlineStr">
        <is>
          <t>checkPINDuplication("InsReliefDtls.ListS",InsReliefDtls.ListS,"A")</t>
        </is>
      </c>
      <c r="C256" s="152" t="n"/>
      <c r="D256" s="152" t="n"/>
      <c r="E256" s="152" t="n"/>
      <c r="F256" s="152" t="n"/>
      <c r="G256" s="152" t="n"/>
      <c r="H256" s="152" t="inlineStr">
        <is>
          <t>validateDateBeforeRtnPeriodEnd(InsReliefDtls.ListS,"G")</t>
        </is>
      </c>
      <c r="I256" s="152" t="n"/>
      <c r="J256" s="152" t="n"/>
      <c r="K256" s="152" t="n"/>
      <c r="L256" s="152" t="n"/>
      <c r="M256" s="152" t="n"/>
      <c r="Q256" s="152" t="n"/>
    </row>
    <row r="257" ht="51" customHeight="1" s="486">
      <c r="A257" s="151" t="inlineStr">
        <is>
          <t>Error Message</t>
        </is>
      </c>
      <c r="B257" s="152">
        <f>CONCATENATE(B250,ErrMsg.CompareToTaxPayerPin)</f>
        <v/>
      </c>
      <c r="C257" s="152" t="n"/>
      <c r="D257" s="152" t="n"/>
      <c r="E257" s="152" t="n"/>
      <c r="F257" s="152" t="n"/>
      <c r="G257" s="152" t="n"/>
      <c r="H257" s="152" t="inlineStr">
        <is>
          <t>Commencement Date should be before or within Return Period base on selected Purpose of Policy</t>
        </is>
      </c>
      <c r="I257" s="152" t="n"/>
      <c r="J257" s="152" t="n"/>
      <c r="K257" s="152" t="n"/>
      <c r="L257" s="152" t="n"/>
      <c r="M257" s="152" t="n"/>
      <c r="Q257" s="152" t="n"/>
    </row>
    <row r="259" ht="34" customFormat="1" customHeight="1" s="150">
      <c r="A259" s="149" t="inlineStr">
        <is>
          <t>L_Computation_of_Insu_Relief</t>
        </is>
      </c>
      <c r="B259" s="171" t="inlineStr">
        <is>
          <t>PIN of Insurance Company</t>
        </is>
      </c>
      <c r="C259" s="171" t="inlineStr">
        <is>
          <t>Name of Insurance Company</t>
        </is>
      </c>
      <c r="D259" s="171" t="inlineStr">
        <is>
          <t>Type of policy
(Life/Education/ Health)</t>
        </is>
      </c>
      <c r="E259" s="171" t="inlineStr">
        <is>
          <t>Insurance Policy Number</t>
        </is>
      </c>
      <c r="F259" s="171" t="inlineStr">
        <is>
          <t>Policy Holder (Self/Wife/Child)</t>
        </is>
      </c>
      <c r="G259" s="171" t="inlineStr">
        <is>
          <t>Age of Child</t>
        </is>
      </c>
      <c r="H259" s="171" t="inlineStr">
        <is>
          <t>Commencement Date</t>
        </is>
      </c>
      <c r="I259" s="171" t="inlineStr">
        <is>
          <t>Maturity Date</t>
        </is>
      </c>
      <c r="J259" s="171" t="inlineStr">
        <is>
          <t>Sum Assured (Ksh)</t>
        </is>
      </c>
      <c r="K259" s="171" t="inlineStr">
        <is>
          <t>Annual Premium Paid</t>
        </is>
      </c>
      <c r="L259" s="171" t="inlineStr">
        <is>
          <t>Amount of Insurance Relief</t>
        </is>
      </c>
      <c r="M259" s="149" t="n"/>
      <c r="N259" s="149" t="n"/>
      <c r="O259" s="149" t="n"/>
      <c r="P259" s="149" t="n"/>
      <c r="Q259" s="149" t="n"/>
      <c r="R259" s="149" t="inlineStr">
        <is>
          <t>Section L : Computation of  Insurance Relief (Wife)</t>
        </is>
      </c>
    </row>
    <row r="260" ht="17" customHeight="1" s="486">
      <c r="A260" s="151" t="inlineStr">
        <is>
          <t>Mandatory</t>
        </is>
      </c>
      <c r="B260" s="151" t="inlineStr">
        <is>
          <t>Y</t>
        </is>
      </c>
      <c r="C260" s="151" t="inlineStr">
        <is>
          <t>Y</t>
        </is>
      </c>
      <c r="D260" s="151" t="inlineStr">
        <is>
          <t>Y</t>
        </is>
      </c>
      <c r="E260" s="151" t="inlineStr">
        <is>
          <t>Y</t>
        </is>
      </c>
      <c r="F260" s="151" t="inlineStr">
        <is>
          <t>Y</t>
        </is>
      </c>
      <c r="G260" s="151" t="inlineStr">
        <is>
          <t>Y</t>
        </is>
      </c>
      <c r="H260" s="151" t="inlineStr">
        <is>
          <t>Y</t>
        </is>
      </c>
      <c r="I260" s="151" t="inlineStr">
        <is>
          <t>Y</t>
        </is>
      </c>
      <c r="J260" s="151" t="inlineStr">
        <is>
          <t>Y</t>
        </is>
      </c>
      <c r="K260" s="151" t="inlineStr">
        <is>
          <t>Y</t>
        </is>
      </c>
      <c r="L260" s="151" t="inlineStr">
        <is>
          <t>Y</t>
        </is>
      </c>
    </row>
    <row r="261" ht="51" customHeight="1" s="486">
      <c r="A261" s="151" t="inlineStr">
        <is>
          <t>Validation Rule1</t>
        </is>
      </c>
      <c r="B261" s="151" t="inlineStr">
        <is>
          <t>IF(RetInf.DeclareWifeIncome="Yes",isMandatory(InsReliefDtls.ListW,B260,"A"),"NE")</t>
        </is>
      </c>
      <c r="C261" s="151" t="inlineStr">
        <is>
          <t>IF(RetInf.DeclareWifeIncome="Yes",isMandatory(InsReliefDtls.ListW,C260,"B"),"NE")</t>
        </is>
      </c>
      <c r="D261" s="151" t="inlineStr">
        <is>
          <t>IF(RetInf.DeclareWifeIncome="Yes",isMandatory(InsReliefDtls.ListW,D260,"C"),"NE")</t>
        </is>
      </c>
      <c r="E261" s="151" t="inlineStr">
        <is>
          <t>IF(RetInf.DeclareWifeIncome="Yes",isMandatory(InsReliefDtls.ListW,E260,"D"),"NE")</t>
        </is>
      </c>
      <c r="F261" s="151" t="inlineStr">
        <is>
          <t>IF(RetInf.DeclareWifeIncome="Yes",isMandatory(InsReliefDtls.ListW,F260,"E"),"NE")</t>
        </is>
      </c>
      <c r="G261" s="151" t="inlineStr">
        <is>
          <t>IF(RetInf.DeclareWifeIncome="Yes",isMandatory(InsReliefDtls.ListW,G260,"F"),"NE")</t>
        </is>
      </c>
      <c r="H261" s="151" t="inlineStr">
        <is>
          <t>IF(RetInf.DeclareWifeIncome="Yes",isMandatory(InsReliefDtls.ListW,H260,"G"),"NE")</t>
        </is>
      </c>
      <c r="I261" s="151" t="inlineStr">
        <is>
          <t>IF(RetInf.DeclareWifeIncome="Yes",isMandatory(InsReliefDtls.ListW,I260,"H"),"NE")</t>
        </is>
      </c>
      <c r="J261" s="151" t="inlineStr">
        <is>
          <t>IF(RetInf.DeclareWifeIncome="Yes",isMandatory(InsReliefDtls.ListW,J260,"I"),"NE")</t>
        </is>
      </c>
      <c r="K261" s="151" t="inlineStr">
        <is>
          <t>IF(RetInf.DeclareWifeIncome="Yes",isMandatory(InsReliefDtls.ListW,K260,"J"),"NE")</t>
        </is>
      </c>
      <c r="L261" s="151" t="inlineStr">
        <is>
          <t>IF(RetInf.DeclareWifeIncome="Yes",isMandatory(InsReliefDtls.ListW,L260,"K"),"NE")</t>
        </is>
      </c>
    </row>
    <row r="262" ht="51" customHeight="1" s="486">
      <c r="A262" s="151" t="inlineStr">
        <is>
          <t>Error Message</t>
        </is>
      </c>
      <c r="B262" s="151">
        <f>CONCATENATE(B259,ErrMsg.Mandatory)</f>
        <v/>
      </c>
      <c r="C262" s="151">
        <f>CONCATENATE(C259,ErrMsg.Mandatory)</f>
        <v/>
      </c>
      <c r="D262" s="151">
        <f>CONCATENATE(D259,ErrMsg.Mandatory)</f>
        <v/>
      </c>
      <c r="E262" s="151">
        <f>CONCATENATE(E259,ErrMsg.Mandatory)</f>
        <v/>
      </c>
      <c r="F262" s="151">
        <f>CONCATENATE(F259,ErrMsg.Mandatory)</f>
        <v/>
      </c>
      <c r="G262" s="151">
        <f>CONCATENATE(G259,ErrMsg.Mandatory)</f>
        <v/>
      </c>
      <c r="H262" s="151">
        <f>CONCATENATE(H259,ErrMsg.Mandatory)</f>
        <v/>
      </c>
      <c r="I262" s="151">
        <f>CONCATENATE(I259,ErrMsg.Mandatory)</f>
        <v/>
      </c>
      <c r="J262" s="151">
        <f>CONCATENATE(J259,ErrMsg.Mandatory)</f>
        <v/>
      </c>
      <c r="K262" s="151">
        <f>CONCATENATE(K259,ErrMsg.Mandatory)</f>
        <v/>
      </c>
      <c r="L262" s="151">
        <f>CONCATENATE(L259,ErrMsg.Mandatory)</f>
        <v/>
      </c>
      <c r="M262" s="152" t="n"/>
      <c r="N262" s="152" t="n"/>
      <c r="O262" s="152" t="n"/>
      <c r="P262" s="152" t="n"/>
      <c r="Q262" s="152" t="n"/>
      <c r="R262" s="152" t="n"/>
    </row>
    <row r="263" ht="51" customHeight="1" s="486">
      <c r="A263" s="151" t="inlineStr">
        <is>
          <t>Validation Rule2</t>
        </is>
      </c>
      <c r="B263" s="152" t="inlineStr">
        <is>
          <t>IF(RetInf.DeclareWifeIncome="Yes",validatePIN(InsReliefDtls.ListW,"A"),"NE")</t>
        </is>
      </c>
      <c r="C263" s="152" t="inlineStr">
        <is>
          <t>IF(RetInf.DeclareWifeIncome="Yes",validateAlphaNumeric(InsReliefDtls.ListW,"B"),"NE")</t>
        </is>
      </c>
      <c r="D263" s="152" t="inlineStr">
        <is>
          <t>IF(RetInf.DeclareWifeIncome="Yes",validateAlphaNumeric(InsReliefDtls.ListW,"C"),"NE")</t>
        </is>
      </c>
      <c r="E263" s="152" t="inlineStr">
        <is>
          <t>IF(RetInf.DeclareWifeIncome="Yes",validateAlphaNumeric(InsReliefDtls.ListW,"D"),"NE")</t>
        </is>
      </c>
      <c r="F263" s="152" t="inlineStr">
        <is>
          <t>IF(RetInf.DeclareWifeIncome="Yes",validateAlphaNumeric(InsReliefDtls.ListW,"E"),"NE")</t>
        </is>
      </c>
      <c r="G263" s="152" t="inlineStr">
        <is>
          <t>IF(RetInf.DeclareWifeIncome="Yes",validateNumeric(InsReliefDtls.ListW,"F"),"NE")</t>
        </is>
      </c>
      <c r="H263" s="152" t="inlineStr">
        <is>
          <t>IF(RetInf.DeclareWifeIncome="Yes",validateDate(InsReliefDtls.ListW,"G"),"NE")</t>
        </is>
      </c>
      <c r="I263" s="152" t="inlineStr">
        <is>
          <t>IF(RetInf.DeclareWifeIncome="Yes",validateDate(InsReliefDtls.ListW,"H"),"NE")</t>
        </is>
      </c>
      <c r="J263" s="152" t="inlineStr">
        <is>
          <t>IF(RetInf.DeclareWifeIncome="Yes",validateCurrencyFormat(InsReliefDtls.ListW,"I"),"NE")</t>
        </is>
      </c>
      <c r="K263" s="152" t="inlineStr">
        <is>
          <t>IF(RetInf.DeclareWifeIncome="Yes",validateCurrencyFormat(InsReliefDtls.ListW,"J"),"NE")</t>
        </is>
      </c>
      <c r="L263" s="152" t="inlineStr">
        <is>
          <t>IF(RetInf.DeclareWifeIncome="Yes",validateCurrencyFormat(InsReliefDtls.ListW,"K"),"NE")</t>
        </is>
      </c>
      <c r="M263" s="152" t="n"/>
      <c r="N263" s="152" t="n"/>
      <c r="O263" s="152" t="n"/>
      <c r="P263" s="152" t="n"/>
      <c r="Q263" s="152" t="n"/>
      <c r="R263" s="152" t="n"/>
    </row>
    <row r="264" ht="51" customHeight="1" s="486">
      <c r="A264" s="151" t="inlineStr">
        <is>
          <t>Error Message</t>
        </is>
      </c>
      <c r="B264" s="152">
        <f>CONCATENATE("Please enter ",B259,ErrMsg.PinFormat)</f>
        <v/>
      </c>
      <c r="C264" s="152">
        <f>ErrMsg.alphanumeric</f>
        <v/>
      </c>
      <c r="D264" s="152">
        <f>ErrMsg.alphanumeric</f>
        <v/>
      </c>
      <c r="E264" s="152">
        <f>ErrMsg.alphanumeric</f>
        <v/>
      </c>
      <c r="F264" s="152">
        <f>ErrMsg.alphanumeric</f>
        <v/>
      </c>
      <c r="G264" s="152">
        <f>ErrMsg.NumericVal</f>
        <v/>
      </c>
      <c r="H264" s="152" t="inlineStr">
        <is>
          <t>Please enter date in proper format</t>
        </is>
      </c>
      <c r="I264" s="152" t="inlineStr">
        <is>
          <t>Please enter date in proper format</t>
        </is>
      </c>
      <c r="J264" s="152">
        <f>ErrMsg.NumericVal</f>
        <v/>
      </c>
      <c r="K264" s="152">
        <f>ErrMsg.NumericVal</f>
        <v/>
      </c>
      <c r="L264" s="152">
        <f>ErrMsg.NumericVal</f>
        <v/>
      </c>
      <c r="M264" s="152" t="n"/>
      <c r="N264" s="152" t="n"/>
      <c r="O264" s="152" t="n"/>
      <c r="P264" s="152" t="n"/>
      <c r="Q264" s="152" t="n"/>
      <c r="R264" s="152" t="n"/>
    </row>
    <row r="265" ht="51" customHeight="1" s="486">
      <c r="A265" s="151" t="inlineStr">
        <is>
          <t>Validation Rule3</t>
        </is>
      </c>
      <c r="B265" s="152" t="inlineStr">
        <is>
          <t>checkPINDuplication("InsReliefDtls.ListW",InsReliefDtls.ListW,"A")</t>
        </is>
      </c>
      <c r="C265" s="152" t="n"/>
      <c r="D265" s="152" t="n"/>
      <c r="E265" s="152" t="n"/>
      <c r="F265" s="152" t="n"/>
      <c r="G265" s="152" t="n"/>
      <c r="H265" s="152" t="inlineStr">
        <is>
          <t>IF(RetInf.DeclareWifeIncome="Yes",validateDateBeforeRtnPeriodEnd(InsReliefDtls.ListW,"G"),"NE")</t>
        </is>
      </c>
      <c r="I265" s="152" t="n"/>
      <c r="J265" s="152" t="n"/>
      <c r="K265" s="152" t="n"/>
      <c r="L265" s="152" t="n"/>
      <c r="M265" s="152" t="n"/>
      <c r="N265" s="152" t="n"/>
      <c r="O265" s="152" t="n"/>
      <c r="P265" s="152" t="n"/>
      <c r="Q265" s="152" t="n"/>
      <c r="R265" s="152" t="n"/>
    </row>
    <row r="266" ht="51" customHeight="1" s="486">
      <c r="A266" s="151" t="inlineStr">
        <is>
          <t>Error Message</t>
        </is>
      </c>
      <c r="B266" s="152">
        <f>CONCATENATE(B259,ErrMsg.CompareToTaxPayerPin)</f>
        <v/>
      </c>
      <c r="C266" s="152" t="n"/>
      <c r="D266" s="152" t="n"/>
      <c r="E266" s="152" t="n"/>
      <c r="F266" s="152" t="n"/>
      <c r="G266" s="152" t="n"/>
      <c r="H266" s="152" t="inlineStr">
        <is>
          <t>Commencement Date should be before or within Return Period base on selected Purpose of Policy</t>
        </is>
      </c>
      <c r="I266" s="152" t="n"/>
      <c r="J266" s="152" t="n"/>
      <c r="K266" s="152" t="n"/>
      <c r="L266" s="152" t="n"/>
      <c r="M266" s="152" t="n"/>
      <c r="N266" s="152" t="n"/>
      <c r="O266" s="152" t="n"/>
      <c r="P266" s="152" t="n"/>
      <c r="Q266" s="152" t="n"/>
      <c r="R266" s="152" t="n"/>
    </row>
    <row r="268" ht="68" customFormat="1" customHeight="1" s="150">
      <c r="A268" s="149" t="inlineStr">
        <is>
          <t>M_Details_of_PAYE_Deducted</t>
        </is>
      </c>
      <c r="B268" s="149" t="inlineStr">
        <is>
          <t>PIN of Employer</t>
        </is>
      </c>
      <c r="C268" s="149" t="inlineStr">
        <is>
          <t>Name of Employer</t>
        </is>
      </c>
      <c r="D268" s="149" t="inlineStr">
        <is>
          <t>Taxable Salary</t>
        </is>
      </c>
      <c r="E268" s="149" t="inlineStr">
        <is>
          <t>Tax Payable on Taxable Salary</t>
        </is>
      </c>
      <c r="F268" s="149" t="inlineStr">
        <is>
          <t>Amount of Tax Deducted (PAYE)</t>
        </is>
      </c>
      <c r="G268" s="149" t="inlineStr">
        <is>
          <t>Amount of Tax Payable or Refundable (Tax Payable on Taxable Salary-Amount of Tax Deducted (PAYE))</t>
        </is>
      </c>
      <c r="H268" s="149" t="n"/>
      <c r="I268" s="149" t="n"/>
      <c r="J268" s="149" t="n"/>
      <c r="K268" s="149" t="n"/>
      <c r="L268" s="149" t="n"/>
      <c r="M268" s="149" t="n"/>
      <c r="N268" s="149" t="n"/>
      <c r="O268" s="149" t="n"/>
      <c r="P268" s="149" t="n"/>
      <c r="Q268" s="149" t="n"/>
      <c r="R268" s="149" t="inlineStr">
        <is>
          <t>Section M : Details of PAYE Deducted at Source from Salary (Self)</t>
        </is>
      </c>
    </row>
    <row r="269" ht="17" customHeight="1" s="486">
      <c r="A269" s="151" t="inlineStr">
        <is>
          <t>Mandatory</t>
        </is>
      </c>
      <c r="B269" s="151" t="inlineStr">
        <is>
          <t>Y</t>
        </is>
      </c>
      <c r="C269" s="151" t="inlineStr">
        <is>
          <t>Y</t>
        </is>
      </c>
      <c r="D269" s="151" t="inlineStr">
        <is>
          <t>Y</t>
        </is>
      </c>
      <c r="E269" s="151" t="inlineStr">
        <is>
          <t>Y</t>
        </is>
      </c>
      <c r="F269" s="151" t="inlineStr">
        <is>
          <t>Y</t>
        </is>
      </c>
      <c r="G269" s="151" t="inlineStr">
        <is>
          <t>Y</t>
        </is>
      </c>
    </row>
    <row r="270" ht="34" customHeight="1" s="486">
      <c r="A270" s="151" t="inlineStr">
        <is>
          <t>Validation Rule1</t>
        </is>
      </c>
      <c r="B270" s="151" t="inlineStr">
        <is>
          <t>isMandatory(PayeDed.ListS,B269,"A")</t>
        </is>
      </c>
      <c r="C270" s="151" t="inlineStr">
        <is>
          <t>isMandatory(PayeDed.ListS,C269,"B")</t>
        </is>
      </c>
      <c r="D270" s="151" t="inlineStr">
        <is>
          <t>isMandatory(PayeDed.ListS,D269,"C")</t>
        </is>
      </c>
      <c r="E270" s="151" t="inlineStr">
        <is>
          <t>isMandatory(PayeDed.ListS,E269,"D")</t>
        </is>
      </c>
      <c r="F270" s="151" t="inlineStr">
        <is>
          <t>isMandatory(PayeDed.ListS,F269,"E")</t>
        </is>
      </c>
      <c r="G270" s="151" t="inlineStr">
        <is>
          <t>isMandatory(PayeDed.ListS,G269,"F")</t>
        </is>
      </c>
    </row>
    <row r="271" ht="68" customHeight="1" s="486">
      <c r="A271" s="151" t="inlineStr">
        <is>
          <t>Error Message</t>
        </is>
      </c>
      <c r="B271" s="151">
        <f>CONCATENATE(B268,ErrMsg.Mandatory)</f>
        <v/>
      </c>
      <c r="C271" s="151">
        <f>CONCATENATE(C268,ErrMsg.Mandatory)</f>
        <v/>
      </c>
      <c r="D271" s="151">
        <f>CONCATENATE(D268,ErrMsg.Mandatory)</f>
        <v/>
      </c>
      <c r="E271" s="151">
        <f>CONCATENATE(E268,ErrMsg.Mandatory)</f>
        <v/>
      </c>
      <c r="F271" s="151">
        <f>CONCATENATE(F268,ErrMsg.Mandatory)</f>
        <v/>
      </c>
      <c r="G271" s="151">
        <f>CONCATENATE(G268,ErrMsg.Mandatory)</f>
        <v/>
      </c>
      <c r="H271" s="152" t="n"/>
      <c r="I271" s="152" t="n"/>
      <c r="J271" s="152" t="n"/>
      <c r="K271" s="152" t="n"/>
      <c r="L271" s="152" t="n"/>
      <c r="M271" s="152" t="n"/>
      <c r="N271" s="152" t="n"/>
      <c r="O271" s="152" t="n"/>
      <c r="P271" s="152" t="n"/>
      <c r="Q271" s="152" t="n"/>
      <c r="R271" s="152" t="n"/>
    </row>
    <row r="272" ht="34" customHeight="1" s="486">
      <c r="A272" s="151" t="inlineStr">
        <is>
          <t>Validation Rule2</t>
        </is>
      </c>
      <c r="B272" s="152" t="inlineStr">
        <is>
          <t>validatePIN(PayeDed.ListS,"A")</t>
        </is>
      </c>
      <c r="C272" s="152" t="inlineStr">
        <is>
          <t>validateAlphaNumeric(PayeDed.ListS,"B")</t>
        </is>
      </c>
      <c r="D272" s="152" t="inlineStr">
        <is>
          <t>validateCurrencyFormat(PayeDed.ListS,"C")</t>
        </is>
      </c>
      <c r="E272" s="152" t="inlineStr">
        <is>
          <t>validateCurrencyFormat(PayeDed.ListS,"D")</t>
        </is>
      </c>
      <c r="F272" s="152" t="inlineStr">
        <is>
          <t>validateCurrencyFormat(PayeDed.ListS,"E")</t>
        </is>
      </c>
      <c r="G272" s="152" t="inlineStr">
        <is>
          <t>validateCurrencyFormat(PayeDed.ListS,"F")</t>
        </is>
      </c>
      <c r="H272" s="152" t="n"/>
      <c r="I272" s="152" t="n"/>
      <c r="J272" s="152" t="n"/>
      <c r="K272" s="152" t="n"/>
      <c r="L272" s="152" t="n"/>
      <c r="M272" s="152" t="n"/>
      <c r="N272" s="152" t="n"/>
      <c r="O272" s="152" t="n"/>
      <c r="P272" s="152" t="n"/>
      <c r="Q272" s="152" t="n"/>
      <c r="R272" s="152" t="n"/>
    </row>
    <row r="273" ht="51" customHeight="1" s="486">
      <c r="A273" s="151" t="inlineStr">
        <is>
          <t>Error Message</t>
        </is>
      </c>
      <c r="B273" s="152">
        <f>CONCATENATE("Please enter ",B268,ErrMsg.PinFormat)</f>
        <v/>
      </c>
      <c r="C273" s="152">
        <f>ErrMsg.alphanumeric</f>
        <v/>
      </c>
      <c r="D273" s="152">
        <f>ErrMsg.NumericVal</f>
        <v/>
      </c>
      <c r="E273" s="152">
        <f>ErrMsg.NumericVal</f>
        <v/>
      </c>
      <c r="F273" s="152">
        <f>ErrMsg.NumericVal</f>
        <v/>
      </c>
      <c r="G273" s="152">
        <f>ErrMsg.NumericVal</f>
        <v/>
      </c>
      <c r="H273" s="152" t="n"/>
      <c r="I273" s="152" t="n"/>
      <c r="J273" s="152" t="n"/>
      <c r="K273" s="152" t="n"/>
      <c r="L273" s="152" t="n"/>
      <c r="M273" s="152" t="n"/>
      <c r="N273" s="152" t="n"/>
      <c r="O273" s="152" t="n"/>
      <c r="P273" s="152" t="n"/>
      <c r="Q273" s="152" t="n"/>
      <c r="R273" s="152" t="n"/>
    </row>
    <row r="274" ht="34" customHeight="1" s="486">
      <c r="A274" s="151" t="inlineStr">
        <is>
          <t>Validation Rule3</t>
        </is>
      </c>
      <c r="B274" s="152" t="inlineStr">
        <is>
          <t>checkPINDuplication("PayeDed.ListS",PayeDed.ListS,"A")</t>
        </is>
      </c>
      <c r="C274" s="152" t="n"/>
      <c r="D274" s="152" t="n"/>
      <c r="E274" s="152" t="n"/>
      <c r="F274" s="152" t="n"/>
      <c r="G274" s="152" t="n"/>
      <c r="H274" s="152" t="n"/>
      <c r="I274" s="152" t="n"/>
      <c r="J274" s="152" t="n"/>
      <c r="K274" s="152" t="n"/>
      <c r="L274" s="152" t="n"/>
      <c r="M274" s="152" t="n"/>
      <c r="N274" s="152" t="n"/>
      <c r="O274" s="152" t="n"/>
      <c r="P274" s="152" t="n"/>
      <c r="Q274" s="152" t="n"/>
      <c r="R274" s="152" t="n"/>
    </row>
    <row r="275" ht="34" customHeight="1" s="486">
      <c r="A275" s="151" t="inlineStr">
        <is>
          <t>Error Message</t>
        </is>
      </c>
      <c r="B275" s="152">
        <f>CONCATENATE(B268,ErrMsg.CompareToTaxPayerPin)</f>
        <v/>
      </c>
      <c r="C275" s="152" t="n"/>
      <c r="D275" s="152" t="n"/>
      <c r="E275" s="152" t="n"/>
      <c r="F275" s="152" t="n"/>
      <c r="G275" s="152" t="n"/>
      <c r="H275" s="152" t="n"/>
      <c r="I275" s="152" t="n"/>
      <c r="J275" s="152" t="n"/>
      <c r="K275" s="152" t="n"/>
      <c r="L275" s="152" t="n"/>
      <c r="M275" s="152" t="n"/>
      <c r="N275" s="152" t="n"/>
      <c r="O275" s="152" t="n"/>
      <c r="P275" s="152" t="n"/>
      <c r="Q275" s="152" t="n"/>
      <c r="R275" s="152" t="n"/>
    </row>
    <row r="277" ht="68" customFormat="1" customHeight="1" s="150">
      <c r="A277" s="149" t="inlineStr">
        <is>
          <t>M_Details_of_PAYE_Deducted</t>
        </is>
      </c>
      <c r="B277" s="149" t="inlineStr">
        <is>
          <t>PIN of Employer</t>
        </is>
      </c>
      <c r="C277" s="149" t="inlineStr">
        <is>
          <t>Name of Employer</t>
        </is>
      </c>
      <c r="D277" s="149" t="inlineStr">
        <is>
          <t>Taxable Salary</t>
        </is>
      </c>
      <c r="E277" s="149" t="inlineStr">
        <is>
          <t>Tax Payable on Taxable Salary</t>
        </is>
      </c>
      <c r="F277" s="149" t="inlineStr">
        <is>
          <t>Amount of Tax Deducted (PAYE)</t>
        </is>
      </c>
      <c r="G277" s="149" t="inlineStr">
        <is>
          <t>Amount of Tax Payable or Refundable (Tax Payable on Taxable Salary-Amount of Tax Deducted (PAYE))</t>
        </is>
      </c>
      <c r="H277" s="149" t="n"/>
      <c r="I277" s="149" t="n"/>
      <c r="J277" s="149" t="n"/>
      <c r="K277" s="149" t="n"/>
      <c r="L277" s="149" t="n"/>
      <c r="M277" s="149" t="n"/>
      <c r="N277" s="149" t="n"/>
      <c r="O277" s="149" t="n"/>
      <c r="P277" s="149" t="n"/>
      <c r="Q277" s="149" t="n"/>
      <c r="R277" s="149" t="inlineStr">
        <is>
          <t>Section M : Details of PAYE Deducted at Source from Salary (Wife)</t>
        </is>
      </c>
    </row>
    <row r="278" ht="17" customHeight="1" s="486">
      <c r="A278" s="151" t="inlineStr">
        <is>
          <t>Mandatory</t>
        </is>
      </c>
      <c r="B278" s="151" t="inlineStr">
        <is>
          <t>Y</t>
        </is>
      </c>
      <c r="C278" s="151" t="inlineStr">
        <is>
          <t>Y</t>
        </is>
      </c>
      <c r="D278" s="151" t="inlineStr">
        <is>
          <t>Y</t>
        </is>
      </c>
      <c r="E278" s="151" t="inlineStr">
        <is>
          <t>Y</t>
        </is>
      </c>
      <c r="F278" s="151" t="inlineStr">
        <is>
          <t>Y</t>
        </is>
      </c>
      <c r="G278" s="151" t="inlineStr">
        <is>
          <t>Y</t>
        </is>
      </c>
    </row>
    <row r="279" ht="51" customHeight="1" s="486">
      <c r="A279" s="151" t="inlineStr">
        <is>
          <t>Validation Rule1</t>
        </is>
      </c>
      <c r="B279" s="151" t="inlineStr">
        <is>
          <t>IF(RetInf.DeclareWifeIncome="Yes",isMandatory(PayeDed.ListW,B278,"A"),"NE")</t>
        </is>
      </c>
      <c r="C279" s="151" t="inlineStr">
        <is>
          <t>IF(RetInf.DeclareWifeIncome="Yes",isMandatory(PayeDed.ListW,C278,"B"),"NE")</t>
        </is>
      </c>
      <c r="D279" s="151" t="inlineStr">
        <is>
          <t>IF(RetInf.DeclareWifeIncome="Yes",isMandatory(PayeDed.ListW,D278,"C"),"NE")</t>
        </is>
      </c>
      <c r="E279" s="151" t="inlineStr">
        <is>
          <t>IF(RetInf.DeclareWifeIncome="Yes",isMandatory(PayeDed.ListW,E278,"D"),"NE")</t>
        </is>
      </c>
      <c r="F279" s="151" t="inlineStr">
        <is>
          <t>IF(RetInf.DeclareWifeIncome="Yes",isMandatory(PayeDed.ListW,F278,"E"),"NE")</t>
        </is>
      </c>
      <c r="G279" s="151" t="inlineStr">
        <is>
          <t>IF(RetInf.DeclareWifeIncome="Yes",isMandatory(PayeDed.ListW,G278,"F"),"NE")</t>
        </is>
      </c>
    </row>
    <row r="280" ht="68" customHeight="1" s="486">
      <c r="A280" s="151" t="inlineStr">
        <is>
          <t>Error Message</t>
        </is>
      </c>
      <c r="B280" s="151">
        <f>CONCATENATE(B277,ErrMsg.Mandatory)</f>
        <v/>
      </c>
      <c r="C280" s="151">
        <f>CONCATENATE(C277,ErrMsg.Mandatory)</f>
        <v/>
      </c>
      <c r="D280" s="151">
        <f>CONCATENATE(D277,ErrMsg.Mandatory)</f>
        <v/>
      </c>
      <c r="E280" s="151">
        <f>CONCATENATE(E277,ErrMsg.Mandatory)</f>
        <v/>
      </c>
      <c r="F280" s="151">
        <f>CONCATENATE(F277,ErrMsg.Mandatory)</f>
        <v/>
      </c>
      <c r="G280" s="151">
        <f>CONCATENATE(G277,ErrMsg.Mandatory)</f>
        <v/>
      </c>
      <c r="H280" s="152" t="n"/>
      <c r="I280" s="152" t="n"/>
      <c r="J280" s="152" t="n"/>
      <c r="K280" s="152" t="n"/>
      <c r="L280" s="152" t="n"/>
      <c r="M280" s="152" t="n"/>
      <c r="N280" s="152" t="n"/>
      <c r="O280" s="152" t="n"/>
      <c r="P280" s="152" t="n"/>
      <c r="Q280" s="152" t="n"/>
      <c r="R280" s="152" t="n"/>
    </row>
    <row r="281" ht="51" customHeight="1" s="486">
      <c r="A281" s="151" t="inlineStr">
        <is>
          <t>Validation Rule2</t>
        </is>
      </c>
      <c r="B281" s="152" t="inlineStr">
        <is>
          <t>IF(RetInf.DeclareWifeIncome="Yes",validatePIN(PayeDed.ListW,"A"),"NE")</t>
        </is>
      </c>
      <c r="C281" s="152" t="inlineStr">
        <is>
          <t>IF(RetInf.DeclareWifeIncome="Yes",validateAlphaNumeric(PayeDed.ListW,"B"),"NE")</t>
        </is>
      </c>
      <c r="D281" s="152" t="inlineStr">
        <is>
          <t>IF(RetInf.DeclareWifeIncome="Yes",validateCurrencyFormat(PayeDed.ListW,"C"),"NE")</t>
        </is>
      </c>
      <c r="E281" s="152" t="inlineStr">
        <is>
          <t>IF(RetInf.DeclareWifeIncome="Yes",validateCurrencyFormat(PayeDed.ListW,"D"),"NE")</t>
        </is>
      </c>
      <c r="F281" s="152" t="inlineStr">
        <is>
          <t>IF(RetInf.DeclareWifeIncome="Yes",validateCurrencyFormat(PayeDed.ListW,"E"),"NE")</t>
        </is>
      </c>
      <c r="G281" s="152" t="inlineStr">
        <is>
          <t>IF(RetInf.DeclareWifeIncome="Yes",validateCurrencyFormat(PayeDed.ListW,"F"),"NE")</t>
        </is>
      </c>
      <c r="H281" s="152" t="n"/>
      <c r="I281" s="152" t="n"/>
      <c r="J281" s="152" t="n"/>
      <c r="K281" s="152" t="n"/>
      <c r="L281" s="152" t="n"/>
      <c r="M281" s="152" t="n"/>
      <c r="N281" s="152" t="n"/>
      <c r="O281" s="152" t="n"/>
      <c r="P281" s="152" t="n"/>
      <c r="Q281" s="152" t="n"/>
      <c r="R281" s="152" t="n"/>
    </row>
    <row r="282" ht="51" customHeight="1" s="486">
      <c r="A282" s="151" t="inlineStr">
        <is>
          <t>Error Message</t>
        </is>
      </c>
      <c r="B282" s="152">
        <f>CONCATENATE("Please enter ",B277,ErrMsg.PinFormat)</f>
        <v/>
      </c>
      <c r="C282" s="152">
        <f>ErrMsg.alphanumeric</f>
        <v/>
      </c>
      <c r="D282" s="152">
        <f>ErrMsg.NumericVal</f>
        <v/>
      </c>
      <c r="E282" s="152">
        <f>ErrMsg.NumericVal</f>
        <v/>
      </c>
      <c r="F282" s="152">
        <f>ErrMsg.NumericVal</f>
        <v/>
      </c>
      <c r="G282" s="152">
        <f>ErrMsg.NumericVal</f>
        <v/>
      </c>
      <c r="H282" s="152" t="n"/>
      <c r="I282" s="152" t="n"/>
      <c r="J282" s="152" t="n"/>
      <c r="K282" s="152" t="n"/>
      <c r="L282" s="152" t="n"/>
      <c r="M282" s="152" t="n"/>
      <c r="N282" s="152" t="n"/>
      <c r="O282" s="152" t="n"/>
      <c r="P282" s="152" t="n"/>
      <c r="Q282" s="152" t="n"/>
      <c r="R282" s="152" t="n"/>
    </row>
    <row r="283" ht="34" customHeight="1" s="486">
      <c r="A283" s="151" t="inlineStr">
        <is>
          <t>Validation Rule3</t>
        </is>
      </c>
      <c r="B283" s="152" t="inlineStr">
        <is>
          <t>checkPINDuplication("PayeDed.ListW",PayeDed.ListW,"A")</t>
        </is>
      </c>
      <c r="C283" s="152" t="n"/>
      <c r="D283" s="152" t="n"/>
      <c r="E283" s="152" t="n"/>
      <c r="F283" s="152" t="n"/>
      <c r="G283" s="152" t="n"/>
      <c r="H283" s="152" t="n"/>
      <c r="I283" s="152" t="n"/>
      <c r="J283" s="152" t="n"/>
      <c r="K283" s="152" t="n"/>
      <c r="L283" s="152" t="n"/>
      <c r="M283" s="152" t="n"/>
      <c r="N283" s="152" t="n"/>
      <c r="O283" s="152" t="n"/>
      <c r="P283" s="152" t="n"/>
      <c r="Q283" s="152" t="n"/>
      <c r="R283" s="152" t="n"/>
    </row>
    <row r="284" ht="34" customHeight="1" s="486">
      <c r="A284" s="151" t="inlineStr">
        <is>
          <t>Error Message</t>
        </is>
      </c>
      <c r="B284" s="152">
        <f>CONCATENATE(B277,ErrMsg.CompareToTaxPayerPin)</f>
        <v/>
      </c>
      <c r="C284" s="152" t="n"/>
      <c r="D284" s="152" t="n"/>
      <c r="E284" s="152" t="n"/>
      <c r="F284" s="152" t="n"/>
      <c r="G284" s="152" t="n"/>
      <c r="H284" s="152" t="n"/>
      <c r="I284" s="152" t="n"/>
      <c r="J284" s="152" t="n"/>
      <c r="K284" s="152" t="n"/>
      <c r="L284" s="152" t="n"/>
      <c r="M284" s="152" t="n"/>
      <c r="N284" s="152" t="n"/>
      <c r="O284" s="152" t="n"/>
      <c r="P284" s="152" t="n"/>
      <c r="Q284" s="152" t="n"/>
      <c r="R284" s="152" t="n"/>
    </row>
    <row r="286" ht="17.25" customHeight="1" s="486"/>
    <row r="287" ht="34" customFormat="1" customHeight="1" s="150">
      <c r="A287" s="149" t="inlineStr">
        <is>
          <t>N_Installment_Tax_Credits</t>
        </is>
      </c>
      <c r="B287" s="149" t="inlineStr">
        <is>
          <t>Payment Registration Number</t>
        </is>
      </c>
      <c r="C287" s="149" t="inlineStr">
        <is>
          <t>Date of Deposit</t>
        </is>
      </c>
      <c r="D287" s="149" t="inlineStr">
        <is>
          <t>Amount of Installment Tax Paid</t>
        </is>
      </c>
      <c r="E287" s="149" t="n"/>
      <c r="G287" s="149" t="n"/>
      <c r="H287" s="149" t="n"/>
      <c r="I287" s="149" t="n"/>
      <c r="J287" s="149" t="n"/>
      <c r="K287" s="149" t="n"/>
      <c r="L287" s="149" t="n"/>
      <c r="M287" s="149" t="n"/>
      <c r="N287" s="149" t="n"/>
      <c r="O287" s="149" t="n"/>
      <c r="P287" s="149" t="n"/>
      <c r="Q287" s="149" t="n"/>
      <c r="R287" s="149" t="inlineStr">
        <is>
          <t>Section N : Details of Installment Tax Paid (Self)</t>
        </is>
      </c>
    </row>
    <row r="288" ht="17" customHeight="1" s="486">
      <c r="A288" s="151" t="inlineStr">
        <is>
          <t>Mandatory</t>
        </is>
      </c>
      <c r="B288" s="151" t="inlineStr">
        <is>
          <t>Y</t>
        </is>
      </c>
      <c r="C288" s="151" t="inlineStr">
        <is>
          <t>Y</t>
        </is>
      </c>
      <c r="D288" s="151" t="inlineStr">
        <is>
          <t>Y</t>
        </is>
      </c>
    </row>
    <row r="289" ht="34" customHeight="1" s="486">
      <c r="A289" s="151" t="inlineStr">
        <is>
          <t>Validation Rule1</t>
        </is>
      </c>
      <c r="B289" s="151" t="inlineStr">
        <is>
          <t>isMandatory(InstallmentTax.ListS,B288,"A")</t>
        </is>
      </c>
      <c r="C289" s="151" t="inlineStr">
        <is>
          <t>isMandatory(InstallmentTax.ListS,C288,"B")</t>
        </is>
      </c>
      <c r="D289" s="151" t="inlineStr">
        <is>
          <t>isMandatory(InstallmentTax.ListS,D288,"C")</t>
        </is>
      </c>
    </row>
    <row r="290" ht="34" customHeight="1" s="486">
      <c r="A290" s="151" t="inlineStr">
        <is>
          <t>Error Message</t>
        </is>
      </c>
      <c r="B290" s="151">
        <f>CONCATENATE(B287,ErrMsg.Mandatory)</f>
        <v/>
      </c>
      <c r="C290" s="151">
        <f>CONCATENATE(C287,ErrMsg.Mandatory)</f>
        <v/>
      </c>
      <c r="D290" s="151">
        <f>CONCATENATE(D287,ErrMsg.Mandatory)</f>
        <v/>
      </c>
      <c r="G290" s="152" t="n"/>
      <c r="H290" s="152" t="n"/>
      <c r="I290" s="152" t="n"/>
      <c r="J290" s="152" t="n"/>
      <c r="K290" s="152" t="n"/>
      <c r="L290" s="152" t="n"/>
      <c r="M290" s="152" t="n"/>
      <c r="N290" s="152" t="n"/>
      <c r="O290" s="152" t="n"/>
      <c r="P290" s="152" t="n"/>
      <c r="Q290" s="152" t="n"/>
      <c r="R290" s="152" t="n"/>
    </row>
    <row r="291" ht="34" customHeight="1" s="486">
      <c r="A291" s="151" t="inlineStr">
        <is>
          <t>Validation Rule2</t>
        </is>
      </c>
      <c r="B291" s="152" t="inlineStr">
        <is>
          <t>validatePRNNumeric(InstallmentTax.ListS,"A")</t>
        </is>
      </c>
      <c r="C291" s="152" t="inlineStr">
        <is>
          <t>validateDate(InstallmentTax.ListS,"B")</t>
        </is>
      </c>
      <c r="D291" s="152" t="inlineStr">
        <is>
          <t>validateCurrencyFormat(InstallmentTax.ListS,"C")</t>
        </is>
      </c>
      <c r="E291" s="152" t="n"/>
      <c r="G291" s="152" t="n"/>
      <c r="H291" s="152" t="n"/>
      <c r="I291" s="152" t="n"/>
      <c r="J291" s="152" t="n"/>
      <c r="K291" s="152" t="n"/>
      <c r="L291" s="152" t="n"/>
      <c r="M291" s="152" t="n"/>
      <c r="N291" s="152" t="n"/>
      <c r="O291" s="152" t="n"/>
      <c r="P291" s="152" t="n"/>
      <c r="Q291" s="152" t="n"/>
      <c r="R291" s="152" t="n"/>
    </row>
    <row r="292" ht="34" customHeight="1" s="486">
      <c r="A292" s="151" t="inlineStr">
        <is>
          <t>Error Message</t>
        </is>
      </c>
      <c r="B292" s="152" t="inlineStr">
        <is>
          <t>Please enter numeric value.Only Special characters like (-) is allowed.</t>
        </is>
      </c>
      <c r="C292" s="152">
        <f>CONCATENATE("Please enter ",C287,ErrMsg.DateFormat)</f>
        <v/>
      </c>
      <c r="D292" s="152">
        <f>ErrMsg.NumericVal</f>
        <v/>
      </c>
      <c r="E292" s="152" t="n"/>
      <c r="G292" s="152" t="n"/>
      <c r="H292" s="152" t="n"/>
      <c r="I292" s="152" t="n"/>
      <c r="J292" s="152" t="n"/>
      <c r="K292" s="152" t="n"/>
      <c r="L292" s="152" t="n"/>
      <c r="M292" s="152" t="n"/>
      <c r="N292" s="152" t="n"/>
      <c r="O292" s="152" t="n"/>
      <c r="P292" s="152" t="n"/>
      <c r="Q292" s="152" t="n"/>
      <c r="R292" s="152" t="n"/>
    </row>
    <row r="293" ht="34" customHeight="1" s="486">
      <c r="A293" s="151" t="inlineStr">
        <is>
          <t>Validation Rule3</t>
        </is>
      </c>
      <c r="B293" s="152" t="inlineStr">
        <is>
          <t>validatePRNAllzero(InstallmentTax.ListS,"A")</t>
        </is>
      </c>
      <c r="C293" s="151" t="inlineStr">
        <is>
          <t>validateDateBtwnRtnPeriod(InstallmentTax.ListS,"B")</t>
        </is>
      </c>
      <c r="D293" s="152" t="inlineStr">
        <is>
          <t>validatePrnAmount(InstallmentTax.ListS,"C")</t>
        </is>
      </c>
      <c r="E293" s="152" t="n"/>
      <c r="G293" s="152" t="n"/>
      <c r="H293" s="152" t="n"/>
      <c r="I293" s="152" t="n"/>
      <c r="J293" s="152" t="n"/>
      <c r="K293" s="152" t="n"/>
      <c r="L293" s="152" t="n"/>
      <c r="M293" s="152" t="n"/>
      <c r="N293" s="152" t="n"/>
      <c r="O293" s="152" t="n"/>
      <c r="P293" s="152" t="n"/>
      <c r="Q293" s="152" t="n"/>
      <c r="R293" s="152" t="n"/>
    </row>
    <row r="294" ht="68" customHeight="1" s="486">
      <c r="A294" s="151" t="inlineStr">
        <is>
          <t>Error Message</t>
        </is>
      </c>
      <c r="B294" s="152" t="inlineStr">
        <is>
          <t>All the digits in the Payment Registration Number cannot be '0'. Please enter Payment Registration Number in proper format.</t>
        </is>
      </c>
      <c r="C294" s="151" t="inlineStr">
        <is>
          <t>The Date of Deposit should be within Return Period.</t>
        </is>
      </c>
      <c r="D294" s="152" t="inlineStr">
        <is>
          <t>Please enter numeric value greater than zero.</t>
        </is>
      </c>
      <c r="E294" s="152" t="n"/>
      <c r="G294" s="152" t="n"/>
      <c r="H294" s="152" t="n"/>
      <c r="I294" s="152" t="n"/>
      <c r="J294" s="152" t="n"/>
      <c r="K294" s="152" t="n"/>
      <c r="L294" s="152" t="n"/>
      <c r="M294" s="152" t="n"/>
      <c r="N294" s="152" t="n"/>
      <c r="O294" s="152" t="n"/>
      <c r="P294" s="152" t="n"/>
      <c r="Q294" s="152" t="n"/>
      <c r="R294" s="152" t="n"/>
    </row>
    <row r="296" ht="34" customFormat="1" customHeight="1" s="150">
      <c r="A296" s="149" t="inlineStr">
        <is>
          <t>N_Installment_Tax_Credits</t>
        </is>
      </c>
      <c r="B296" s="149" t="inlineStr">
        <is>
          <t>Payment Registration Number</t>
        </is>
      </c>
      <c r="C296" s="149" t="inlineStr">
        <is>
          <t>Date of Deposit</t>
        </is>
      </c>
      <c r="D296" s="149" t="inlineStr">
        <is>
          <t>Amount of Installment Tax Paid</t>
        </is>
      </c>
      <c r="E296" s="149" t="n"/>
      <c r="G296" s="149" t="n"/>
      <c r="H296" s="149" t="n"/>
      <c r="I296" s="149" t="n"/>
      <c r="J296" s="149" t="n"/>
      <c r="K296" s="149" t="n"/>
      <c r="L296" s="149" t="n"/>
      <c r="M296" s="149" t="n"/>
      <c r="N296" s="149" t="n"/>
      <c r="O296" s="149" t="n"/>
      <c r="P296" s="149" t="n"/>
      <c r="Q296" s="149" t="n"/>
      <c r="R296" s="149" t="inlineStr">
        <is>
          <t>Section N : Details of Installment Tax Paid (Wife)</t>
        </is>
      </c>
    </row>
    <row r="297" ht="17" customHeight="1" s="486">
      <c r="A297" s="151" t="inlineStr">
        <is>
          <t>Mandatory</t>
        </is>
      </c>
      <c r="B297" s="151" t="inlineStr">
        <is>
          <t>Y</t>
        </is>
      </c>
      <c r="C297" s="151" t="inlineStr">
        <is>
          <t>Y</t>
        </is>
      </c>
      <c r="D297" s="151" t="inlineStr">
        <is>
          <t>Y</t>
        </is>
      </c>
    </row>
    <row r="298" ht="51" customHeight="1" s="486">
      <c r="A298" s="151" t="inlineStr">
        <is>
          <t>Validation Rule1</t>
        </is>
      </c>
      <c r="B298" s="151" t="inlineStr">
        <is>
          <t>IF(RetInf.DeclareWifeIncome="Yes",isMandatory(InstallmentTax.ListW,B297,"A"),"NE")</t>
        </is>
      </c>
      <c r="C298" s="151" t="inlineStr">
        <is>
          <t>IF(RetInf.DeclareWifeIncome="Yes",isMandatory(InstallmentTax.ListW,C297,"B"),"NE")</t>
        </is>
      </c>
      <c r="D298" s="151" t="inlineStr">
        <is>
          <t>IF(RetInf.DeclareWifeIncome="Yes",isMandatory(InstallmentTax.ListW,D297,"C"),"NE")</t>
        </is>
      </c>
    </row>
    <row r="299" ht="34" customHeight="1" s="486">
      <c r="A299" s="151" t="inlineStr">
        <is>
          <t>Error Message</t>
        </is>
      </c>
      <c r="B299" s="151">
        <f>CONCATENATE(B296,ErrMsg.Mandatory)</f>
        <v/>
      </c>
      <c r="C299" s="151">
        <f>CONCATENATE(C296,ErrMsg.Mandatory)</f>
        <v/>
      </c>
      <c r="D299" s="151">
        <f>CONCATENATE(D296,ErrMsg.Mandatory)</f>
        <v/>
      </c>
      <c r="G299" s="152" t="n"/>
      <c r="H299" s="152" t="n"/>
      <c r="I299" s="152" t="n"/>
      <c r="J299" s="152" t="n"/>
      <c r="K299" s="152" t="n"/>
      <c r="L299" s="152" t="n"/>
      <c r="M299" s="152" t="n"/>
      <c r="N299" s="152" t="n"/>
      <c r="O299" s="152" t="n"/>
      <c r="P299" s="152" t="n"/>
      <c r="Q299" s="152" t="n"/>
      <c r="R299" s="152" t="n"/>
    </row>
    <row r="300" ht="51" customHeight="1" s="486">
      <c r="A300" s="151" t="inlineStr">
        <is>
          <t>Validation Rule2</t>
        </is>
      </c>
      <c r="B300" s="152" t="inlineStr">
        <is>
          <t>IF(RetInf.DeclareWifeIncome="Yes",validatePRNNumeric(InstallmentTax.ListW,"A"),"NE")</t>
        </is>
      </c>
      <c r="C300" s="152" t="inlineStr">
        <is>
          <t>IF(RetInf.DeclareWifeIncome="Yes",validateDate(InstallmentTax.ListW,"B"),"NE")</t>
        </is>
      </c>
      <c r="D300" s="152" t="inlineStr">
        <is>
          <t>IF(RetInf.DeclareWifeIncome="Yes",validateCurrencyFormat(InstallmentTax.ListS,"C"),"NE")</t>
        </is>
      </c>
      <c r="E300" s="152" t="n"/>
      <c r="G300" s="152" t="n"/>
      <c r="H300" s="152" t="n"/>
      <c r="I300" s="152" t="n"/>
      <c r="J300" s="152" t="n"/>
      <c r="K300" s="152" t="n"/>
      <c r="L300" s="152" t="n"/>
      <c r="M300" s="152" t="n"/>
      <c r="N300" s="152" t="n"/>
      <c r="O300" s="152" t="n"/>
      <c r="P300" s="152" t="n"/>
      <c r="Q300" s="152" t="n"/>
      <c r="R300" s="152" t="n"/>
    </row>
    <row r="301" ht="34" customHeight="1" s="486">
      <c r="A301" s="151" t="inlineStr">
        <is>
          <t>Error Message</t>
        </is>
      </c>
      <c r="B301" s="152" t="inlineStr">
        <is>
          <t>Please enter numeric value.Only Special characters like (-) is allowed.</t>
        </is>
      </c>
      <c r="C301" s="152">
        <f>CONCATENATE("Please enter ",C296,ErrMsg.DateFormat)</f>
        <v/>
      </c>
      <c r="D301" s="152">
        <f>ErrMsg.NumericVal</f>
        <v/>
      </c>
      <c r="E301" s="152" t="n"/>
      <c r="G301" s="152" t="n"/>
      <c r="H301" s="152" t="n"/>
      <c r="I301" s="152" t="n"/>
      <c r="J301" s="152" t="n"/>
      <c r="K301" s="152" t="n"/>
      <c r="L301" s="152" t="n"/>
      <c r="M301" s="152" t="n"/>
      <c r="N301" s="152" t="n"/>
      <c r="O301" s="152" t="n"/>
      <c r="P301" s="152" t="n"/>
      <c r="Q301" s="152" t="n"/>
      <c r="R301" s="152" t="n"/>
    </row>
    <row r="302" ht="51" customHeight="1" s="486">
      <c r="A302" s="151" t="inlineStr">
        <is>
          <t>Validation Rule3</t>
        </is>
      </c>
      <c r="B302" s="152" t="inlineStr">
        <is>
          <t>IF(RetInf.DeclareWifeIncome="Yes",validatePRNAllzero(InstallmentTax.ListW,"A"),"NE")</t>
        </is>
      </c>
      <c r="C302" s="151" t="inlineStr">
        <is>
          <t>IF(RetInf.DeclareWifeIncome="Yes",validateDateBtwnRtnPeriod(InstallmentTax.ListW,"B"),"NE")</t>
        </is>
      </c>
      <c r="D302" s="152" t="inlineStr">
        <is>
          <t>validatePrnAmount(InstallmentTax.ListW,"C")</t>
        </is>
      </c>
      <c r="E302" s="152" t="n"/>
      <c r="G302" s="152" t="n"/>
      <c r="H302" s="152" t="n"/>
      <c r="I302" s="152" t="n"/>
      <c r="J302" s="152" t="n"/>
      <c r="K302" s="152" t="n"/>
      <c r="L302" s="152" t="n"/>
      <c r="M302" s="152" t="n"/>
      <c r="N302" s="152" t="n"/>
      <c r="O302" s="152" t="n"/>
      <c r="P302" s="152" t="n"/>
      <c r="Q302" s="152" t="n"/>
      <c r="R302" s="152" t="n"/>
    </row>
    <row r="303" ht="68" customHeight="1" s="486">
      <c r="A303" s="151" t="inlineStr">
        <is>
          <t>Error Message</t>
        </is>
      </c>
      <c r="B303" s="152" t="inlineStr">
        <is>
          <t>All the digits in the Payment Registration Number cannot be '0'. Please enter Payment Registration Number in proper format.</t>
        </is>
      </c>
      <c r="C303" s="151" t="inlineStr">
        <is>
          <t>The Date of Deposit should be within Return Period.</t>
        </is>
      </c>
      <c r="D303" s="152" t="inlineStr">
        <is>
          <t>Please enter numeric value greater than zero.</t>
        </is>
      </c>
      <c r="E303" s="152" t="n"/>
      <c r="G303" s="152" t="n"/>
      <c r="H303" s="152" t="n"/>
      <c r="I303" s="152" t="n"/>
      <c r="J303" s="152" t="n"/>
      <c r="K303" s="152" t="n"/>
      <c r="L303" s="152" t="n"/>
      <c r="M303" s="152" t="n"/>
      <c r="N303" s="152" t="n"/>
      <c r="O303" s="152" t="n"/>
      <c r="P303" s="152" t="n"/>
      <c r="Q303" s="152" t="n"/>
      <c r="R303" s="152" t="n"/>
    </row>
    <row r="305" ht="34" customFormat="1" customHeight="1" s="150">
      <c r="A305" s="149" t="inlineStr">
        <is>
          <t>G_Partnership_Income</t>
        </is>
      </c>
      <c r="B305" s="149" t="inlineStr">
        <is>
          <t>PIN of Partnership Firm</t>
        </is>
      </c>
      <c r="C305" s="149" t="inlineStr">
        <is>
          <t>Name of Partnership Firm</t>
        </is>
      </c>
      <c r="D305" s="149" t="inlineStr">
        <is>
          <t>Type of Income</t>
        </is>
      </c>
      <c r="E305" s="149" t="inlineStr">
        <is>
          <t>% Share of Profit / Surplus</t>
        </is>
      </c>
      <c r="F305" s="149" t="inlineStr">
        <is>
          <t>Amount of Share of Profit / Surplus</t>
        </is>
      </c>
      <c r="G305" s="149" t="inlineStr">
        <is>
          <t>Remuneration and Value of Benefit Received</t>
        </is>
      </c>
      <c r="H305" s="149" t="inlineStr">
        <is>
          <t>Amount of Interest on Capital</t>
        </is>
      </c>
      <c r="I305" s="149" t="inlineStr">
        <is>
          <t>Amount of Interest on Drawing</t>
        </is>
      </c>
      <c r="J305" s="149" t="inlineStr">
        <is>
          <t>Total Income from Partnership(s)</t>
        </is>
      </c>
      <c r="K305" s="149" t="n"/>
      <c r="L305" s="149" t="n"/>
      <c r="M305" s="149" t="n"/>
      <c r="N305" s="149" t="n"/>
      <c r="O305" s="149" t="n"/>
      <c r="P305" s="149" t="n"/>
      <c r="Q305" s="149" t="n"/>
      <c r="R305" s="149" t="inlineStr">
        <is>
          <t>Section G : Details of Share of Profit / Surplus / Loss (Self)</t>
        </is>
      </c>
    </row>
    <row r="306" ht="17" customHeight="1" s="486">
      <c r="A306" s="151" t="inlineStr">
        <is>
          <t>Mandatory</t>
        </is>
      </c>
      <c r="B306" s="151" t="inlineStr">
        <is>
          <t>Y</t>
        </is>
      </c>
      <c r="C306" s="151" t="inlineStr">
        <is>
          <t>Y</t>
        </is>
      </c>
      <c r="D306" s="151" t="inlineStr">
        <is>
          <t>Y</t>
        </is>
      </c>
      <c r="E306" s="151" t="inlineStr">
        <is>
          <t>Y</t>
        </is>
      </c>
      <c r="F306" s="151" t="inlineStr">
        <is>
          <t>Y</t>
        </is>
      </c>
      <c r="G306" s="151" t="inlineStr">
        <is>
          <t>Y</t>
        </is>
      </c>
      <c r="H306" s="151" t="inlineStr">
        <is>
          <t>Y</t>
        </is>
      </c>
      <c r="I306" s="151" t="inlineStr">
        <is>
          <t>Y</t>
        </is>
      </c>
      <c r="J306" s="151" t="inlineStr">
        <is>
          <t>Y</t>
        </is>
      </c>
    </row>
    <row r="307" ht="34" customHeight="1" s="486">
      <c r="A307" s="151" t="inlineStr">
        <is>
          <t>Validation Rule1</t>
        </is>
      </c>
      <c r="B307" s="151" t="inlineStr">
        <is>
          <t>isMandatory(ProfitShare.ListS,B306,"A")</t>
        </is>
      </c>
      <c r="C307" s="151" t="inlineStr">
        <is>
          <t>isMandatory(ProfitShare.ListS,C306,"B")</t>
        </is>
      </c>
      <c r="D307" s="151" t="inlineStr">
        <is>
          <t>isMandatory(ProfitShare.ListS,D306,"C")</t>
        </is>
      </c>
      <c r="E307" s="151" t="inlineStr">
        <is>
          <t>isMandatory(ProfitShare.ListS,E306,"D")</t>
        </is>
      </c>
      <c r="F307" s="151" t="inlineStr">
        <is>
          <t>isMandatory(ProfitShare.ListS,F306,"E")</t>
        </is>
      </c>
      <c r="G307" s="151" t="inlineStr">
        <is>
          <t>isMandatory(ProfitShare.ListS,G306,"F")</t>
        </is>
      </c>
      <c r="H307" s="151" t="inlineStr">
        <is>
          <t>isMandatory(ProfitShare.ListS,H306,"G")</t>
        </is>
      </c>
      <c r="I307" s="151" t="inlineStr">
        <is>
          <t>isMandatory(ProfitShare.ListS,I306,"H")</t>
        </is>
      </c>
      <c r="J307" s="151" t="inlineStr">
        <is>
          <t>isMandatory(ProfitShare.ListS,J306,"I")</t>
        </is>
      </c>
    </row>
    <row r="308" ht="34" customHeight="1" s="486">
      <c r="A308" s="151" t="inlineStr">
        <is>
          <t>Error Message</t>
        </is>
      </c>
      <c r="B308" s="151">
        <f>CONCATENATE(B305,ErrMsg.Mandatory)</f>
        <v/>
      </c>
      <c r="C308" s="151">
        <f>CONCATENATE(C305,ErrMsg.Mandatory)</f>
        <v/>
      </c>
      <c r="D308" s="151">
        <f>CONCATENATE(D305,ErrMsg.Mandatory)</f>
        <v/>
      </c>
      <c r="E308" s="151">
        <f>CONCATENATE(E305,ErrMsg.Mandatory)</f>
        <v/>
      </c>
      <c r="F308" s="151">
        <f>CONCATENATE(F305,ErrMsg.Mandatory)</f>
        <v/>
      </c>
      <c r="G308" s="151">
        <f>CONCATENATE(G305,ErrMsg.Mandatory)</f>
        <v/>
      </c>
      <c r="H308" s="151">
        <f>CONCATENATE(H305,ErrMsg.Mandatory)</f>
        <v/>
      </c>
      <c r="I308" s="151">
        <f>CONCATENATE(I305,ErrMsg.Mandatory)</f>
        <v/>
      </c>
      <c r="J308" s="151">
        <f>CONCATENATE(J305,ErrMsg.Mandatory)</f>
        <v/>
      </c>
    </row>
    <row r="309" ht="34" customHeight="1" s="486">
      <c r="A309" s="151" t="inlineStr">
        <is>
          <t>Validation Rule2</t>
        </is>
      </c>
      <c r="B309" s="151" t="inlineStr">
        <is>
          <t>validatePIN(ProfitShare.ListS,"A")</t>
        </is>
      </c>
      <c r="C309" s="151" t="inlineStr">
        <is>
          <t>validateAlphaNumeric(ProfitShare.ListS,"B")</t>
        </is>
      </c>
      <c r="D309" s="151" t="inlineStr">
        <is>
          <t>validateAlphaNumeric(ProfitShare.ListS,"C")</t>
        </is>
      </c>
      <c r="E309" s="151" t="inlineStr">
        <is>
          <t>validateNumeric(ProfitShare.ListS,"D")</t>
        </is>
      </c>
      <c r="F309" s="151" t="inlineStr">
        <is>
          <t>validateCurrencyFormat(ProfitShare.ListS,"E")</t>
        </is>
      </c>
      <c r="G309" s="151" t="inlineStr">
        <is>
          <t>validateCurrencyFormat(ProfitShare.ListS,"F")</t>
        </is>
      </c>
      <c r="H309" s="151" t="inlineStr">
        <is>
          <t>validateCurrencyFormat(ProfitShare.ListS,"G")</t>
        </is>
      </c>
      <c r="I309" s="151" t="inlineStr">
        <is>
          <t>validateCurrencyFormat(ProfitShare.ListS,"H")</t>
        </is>
      </c>
      <c r="J309" s="151" t="inlineStr">
        <is>
          <t>validateCurrencyFormat(ProfitShare.ListS,"I")</t>
        </is>
      </c>
    </row>
    <row r="310" ht="51" customHeight="1" s="486">
      <c r="A310" s="151" t="inlineStr">
        <is>
          <t>Error Message</t>
        </is>
      </c>
      <c r="B310" s="152">
        <f>CONCATENATE("Please enter ",B305,ErrMsg.PinFormat)</f>
        <v/>
      </c>
      <c r="C310" s="152">
        <f>ErrMsg.alphanumeric</f>
        <v/>
      </c>
      <c r="D310" s="152">
        <f>ErrMsg.alphanumeric</f>
        <v/>
      </c>
      <c r="E310" s="152">
        <f>ErrMsg.NumericVal</f>
        <v/>
      </c>
      <c r="F310" s="152">
        <f>ErrMsg.NumericVal</f>
        <v/>
      </c>
      <c r="G310" s="152">
        <f>ErrMsg.NumericVal</f>
        <v/>
      </c>
      <c r="H310" s="152">
        <f>ErrMsg.NumericVal</f>
        <v/>
      </c>
      <c r="I310" s="152">
        <f>ErrMsg.NumericVal</f>
        <v/>
      </c>
      <c r="J310" s="152">
        <f>ErrMsg.NumericVal</f>
        <v/>
      </c>
    </row>
    <row r="311" ht="34" customHeight="1" s="486">
      <c r="A311" s="151" t="inlineStr">
        <is>
          <t>Validation Rule3</t>
        </is>
      </c>
      <c r="B311" s="152" t="inlineStr">
        <is>
          <t>checkPINDuplication("ProfitShare.ListS",ProfitShare.ListS,"A")</t>
        </is>
      </c>
      <c r="C311" s="152" t="n"/>
      <c r="D311" s="152" t="n"/>
      <c r="E311" s="152" t="inlineStr">
        <is>
          <t>validatesameIncomeRatioS(ProfitShare.ListS,"D")</t>
        </is>
      </c>
      <c r="F311" s="152" t="n"/>
      <c r="G311" s="152" t="n"/>
      <c r="H311" s="152" t="n"/>
      <c r="I311" s="152" t="n"/>
      <c r="J311" s="152" t="inlineStr">
        <is>
          <t>compareValues(ProfitShare.ListSTO,TaxComp.chargeableIncomePartS)</t>
        </is>
      </c>
    </row>
    <row r="312" ht="85" customHeight="1" s="486">
      <c r="A312" s="151" t="inlineStr">
        <is>
          <t>Error Message</t>
        </is>
      </c>
      <c r="B312" s="152">
        <f>CONCATENATE(B305,ErrMsg.CompareToTaxPayerPin)</f>
        <v/>
      </c>
      <c r="C312" s="152" t="n"/>
      <c r="D312" s="152" t="n"/>
      <c r="E312" s="152" t="inlineStr">
        <is>
          <t>Share of Profit / Surplus for the same PIN needs to be same</t>
        </is>
      </c>
      <c r="F312" s="152" t="n"/>
      <c r="G312" s="152" t="n"/>
      <c r="H312" s="152" t="n"/>
      <c r="I312" s="152" t="n"/>
      <c r="J312" s="152" t="inlineStr">
        <is>
          <t>The Amount of Total Income from Partnership(s) must be equal to "Taxable Income from  Partnership Firm(s) (Self)" in T_Income_Computation_Self</t>
        </is>
      </c>
    </row>
    <row r="314" ht="34" customFormat="1" customHeight="1" s="150">
      <c r="A314" s="149" t="inlineStr">
        <is>
          <t>G_Partnership_Income</t>
        </is>
      </c>
      <c r="B314" s="149" t="inlineStr">
        <is>
          <t>PIN of Partnership Firm</t>
        </is>
      </c>
      <c r="C314" s="149" t="inlineStr">
        <is>
          <t>Name of Partnership Firm</t>
        </is>
      </c>
      <c r="D314" s="149" t="inlineStr">
        <is>
          <t>Type of Income</t>
        </is>
      </c>
      <c r="E314" s="149" t="inlineStr">
        <is>
          <t>% Share of Profit / Surplus</t>
        </is>
      </c>
      <c r="F314" s="149" t="inlineStr">
        <is>
          <t>Amount of Share of Profit / Surplus</t>
        </is>
      </c>
      <c r="G314" s="149" t="inlineStr">
        <is>
          <t>Remuneration and Value of Benefit Received</t>
        </is>
      </c>
      <c r="H314" s="149" t="inlineStr">
        <is>
          <t>Amount of Interest on Capital</t>
        </is>
      </c>
      <c r="I314" s="149" t="inlineStr">
        <is>
          <t>Amount of Interest on Drawing</t>
        </is>
      </c>
      <c r="J314" s="149" t="inlineStr">
        <is>
          <t>Total Income from Partnership(s)</t>
        </is>
      </c>
      <c r="K314" s="149" t="n"/>
      <c r="L314" s="149" t="n"/>
      <c r="M314" s="149" t="n"/>
      <c r="N314" s="149" t="n"/>
      <c r="O314" s="149" t="n"/>
      <c r="P314" s="149" t="n"/>
      <c r="Q314" s="149" t="n"/>
      <c r="R314" s="149" t="inlineStr">
        <is>
          <t>Section G : Details of Share of Profit / Surplus / Loss (Wife)</t>
        </is>
      </c>
    </row>
    <row r="315" ht="17" customHeight="1" s="486">
      <c r="A315" s="151" t="inlineStr">
        <is>
          <t>Mandatory</t>
        </is>
      </c>
      <c r="B315" s="151" t="inlineStr">
        <is>
          <t>Y</t>
        </is>
      </c>
      <c r="C315" s="151" t="inlineStr">
        <is>
          <t>Y</t>
        </is>
      </c>
      <c r="D315" s="151" t="inlineStr">
        <is>
          <t>Y</t>
        </is>
      </c>
      <c r="E315" s="151" t="inlineStr">
        <is>
          <t>Y</t>
        </is>
      </c>
      <c r="F315" s="151" t="inlineStr">
        <is>
          <t>Y</t>
        </is>
      </c>
      <c r="G315" s="151" t="inlineStr">
        <is>
          <t>Y</t>
        </is>
      </c>
      <c r="H315" s="151" t="inlineStr">
        <is>
          <t>Y</t>
        </is>
      </c>
      <c r="I315" s="151" t="inlineStr">
        <is>
          <t>Y</t>
        </is>
      </c>
      <c r="J315" s="151" t="inlineStr">
        <is>
          <t>Y</t>
        </is>
      </c>
    </row>
    <row r="316" ht="51" customHeight="1" s="486">
      <c r="A316" s="151" t="inlineStr">
        <is>
          <t>Validation Rule1</t>
        </is>
      </c>
      <c r="B316" s="151" t="inlineStr">
        <is>
          <t>IF(RetInf.DeclareWifeIncome="Yes",isMandatory(ProfitShare.ListW,B315,"A"),"NE")</t>
        </is>
      </c>
      <c r="C316" s="151" t="inlineStr">
        <is>
          <t>IF(RetInf.DeclareWifeIncome="Yes",isMandatory(ProfitShare.ListW,C315,"B"),"NE")</t>
        </is>
      </c>
      <c r="D316" s="151" t="inlineStr">
        <is>
          <t>IF(RetInf.DeclareWifeIncome="Yes",isMandatory(ProfitShare.ListW,D315,"C"),"NE")</t>
        </is>
      </c>
      <c r="E316" s="151" t="inlineStr">
        <is>
          <t>IF(RetInf.DeclareWifeIncome="Yes",isMandatory(ProfitShare.ListW,E315,"D"),"NE")</t>
        </is>
      </c>
      <c r="F316" s="151" t="inlineStr">
        <is>
          <t>IF(RetInf.DeclareWifeIncome="Yes",isMandatory(ProfitShare.ListW,F315,"E"),"NE")</t>
        </is>
      </c>
      <c r="G316" s="151" t="inlineStr">
        <is>
          <t>IF(RetInf.DeclareWifeIncome="Yes",isMandatory(ProfitShare.ListW,G315,"F"),"NE")</t>
        </is>
      </c>
      <c r="H316" s="151" t="inlineStr">
        <is>
          <t>IF(RetInf.DeclareWifeIncome="Yes",isMandatory(ProfitShare.ListW,H315,"G"),"NE")</t>
        </is>
      </c>
      <c r="I316" s="151" t="inlineStr">
        <is>
          <t>IF(RetInf.DeclareWifeIncome="Yes",isMandatory(ProfitShare.ListW,I315,"H"),"NE")</t>
        </is>
      </c>
      <c r="J316" s="151" t="inlineStr">
        <is>
          <t>IF(RetInf.DeclareWifeIncome="Yes",isMandatory(ProfitShare.ListW,J315,"I"),"NE")</t>
        </is>
      </c>
    </row>
    <row r="317" ht="34" customHeight="1" s="486">
      <c r="A317" s="151" t="inlineStr">
        <is>
          <t>Error Message</t>
        </is>
      </c>
      <c r="B317" s="151">
        <f>CONCATENATE(B314,ErrMsg.Mandatory)</f>
        <v/>
      </c>
      <c r="C317" s="151">
        <f>CONCATENATE(C314,ErrMsg.Mandatory)</f>
        <v/>
      </c>
      <c r="D317" s="151">
        <f>CONCATENATE(D314,ErrMsg.Mandatory)</f>
        <v/>
      </c>
      <c r="E317" s="151">
        <f>CONCATENATE(E314,ErrMsg.Mandatory)</f>
        <v/>
      </c>
      <c r="F317" s="151">
        <f>CONCATENATE(F314,ErrMsg.Mandatory)</f>
        <v/>
      </c>
      <c r="G317" s="151">
        <f>CONCATENATE(G314,ErrMsg.Mandatory)</f>
        <v/>
      </c>
      <c r="H317" s="151">
        <f>CONCATENATE(H314,ErrMsg.Mandatory)</f>
        <v/>
      </c>
      <c r="I317" s="151">
        <f>CONCATENATE(I314,ErrMsg.Mandatory)</f>
        <v/>
      </c>
      <c r="J317" s="151">
        <f>CONCATENATE(J314,ErrMsg.Mandatory)</f>
        <v/>
      </c>
    </row>
    <row r="318" ht="51" customHeight="1" s="486">
      <c r="A318" s="151" t="inlineStr">
        <is>
          <t>Validation Rule2</t>
        </is>
      </c>
      <c r="B318" s="151" t="inlineStr">
        <is>
          <t>IF(RetInf.DeclareWifeIncome="Yes",validatePIN(ProfitShare.ListW,"A"),"NE")</t>
        </is>
      </c>
      <c r="C318" s="151" t="inlineStr">
        <is>
          <t>IF(RetInf.DeclareWifeIncome="Yes",validateAlphaNumeric(ProfitShare.ListW,"B"),"NE")</t>
        </is>
      </c>
      <c r="D318" s="151" t="inlineStr">
        <is>
          <t>IF(RetInf.DeclareWifeIncome="Yes",validateAlphaNumeric(ProfitShare.ListW,"C"),"NE")</t>
        </is>
      </c>
      <c r="E318" s="151" t="inlineStr">
        <is>
          <t>IF(RetInf.DeclareWifeIncome="Yes",validateNumeric(ProfitShare.ListW,"D"),"NE")</t>
        </is>
      </c>
      <c r="F318" s="151" t="inlineStr">
        <is>
          <t>IF(RetInf.DeclareWifeIncome="Yes",validateCurrencyFormat(ProfitShare.ListW,"E"),"NE")</t>
        </is>
      </c>
      <c r="G318" s="151" t="inlineStr">
        <is>
          <t>IF(RetInf.DeclareWifeIncome="Yes",validateCurrencyFormat(ProfitShare.ListW,"F"),"NE")</t>
        </is>
      </c>
      <c r="H318" s="151" t="inlineStr">
        <is>
          <t>IF(RetInf.DeclareWifeIncome="Yes",validateCurrencyFormat(ProfitShare.ListW,"G"),"NE")</t>
        </is>
      </c>
      <c r="I318" s="151" t="inlineStr">
        <is>
          <t>IF(RetInf.DeclareWifeIncome="Yes",validateCurrencyFormat(ProfitShare.ListW,"H"),"NE")</t>
        </is>
      </c>
      <c r="J318" s="151" t="inlineStr">
        <is>
          <t>IF(RetInf.DeclareWifeIncome="Yes",validateCurrencyFormat(ProfitShare.ListW,"I"),"NE")</t>
        </is>
      </c>
    </row>
    <row r="319" ht="51" customHeight="1" s="486">
      <c r="A319" s="151" t="inlineStr">
        <is>
          <t>Error Message</t>
        </is>
      </c>
      <c r="B319" s="152">
        <f>CONCATENATE("Please enter ",B314,ErrMsg.PinFormat)</f>
        <v/>
      </c>
      <c r="C319" s="152">
        <f>ErrMsg.alphanumeric</f>
        <v/>
      </c>
      <c r="D319" s="152">
        <f>ErrMsg.alphanumeric</f>
        <v/>
      </c>
      <c r="E319" s="152">
        <f>ErrMsg.NumericVal</f>
        <v/>
      </c>
      <c r="F319" s="152">
        <f>ErrMsg.NumericVal</f>
        <v/>
      </c>
      <c r="G319" s="152">
        <f>ErrMsg.NumericVal</f>
        <v/>
      </c>
      <c r="H319" s="152">
        <f>ErrMsg.NumericVal</f>
        <v/>
      </c>
      <c r="I319" s="152">
        <f>ErrMsg.NumericVal</f>
        <v/>
      </c>
      <c r="J319" s="152">
        <f>ErrMsg.NumericVal</f>
        <v/>
      </c>
    </row>
    <row r="320" ht="68" customHeight="1" s="486">
      <c r="A320" s="151" t="inlineStr">
        <is>
          <t>Validation Rule3</t>
        </is>
      </c>
      <c r="B320" s="152" t="inlineStr">
        <is>
          <t>checkPINDuplication("ProfitShare.ListW",ProfitShare.ListW,"A")</t>
        </is>
      </c>
      <c r="C320" s="152" t="n"/>
      <c r="D320" s="152" t="n"/>
      <c r="E320" s="152" t="inlineStr">
        <is>
          <t>IF(RetInf.DeclareWifeIncome="Yes",validatesameIncomeRatioW(ProfitShare.ListW,"D"),"NE")</t>
        </is>
      </c>
      <c r="F320" s="152" t="n"/>
      <c r="G320" s="152" t="n"/>
      <c r="H320" s="152" t="n"/>
      <c r="I320" s="152" t="n"/>
      <c r="J320" s="152" t="inlineStr">
        <is>
          <t>IF(RetInf.DeclareWifeIncome="Yes",compareValues(ProfitShare.ListWTO,TaxComp.chargeableIncomePartW),"NE")</t>
        </is>
      </c>
    </row>
    <row r="321" ht="85" customHeight="1" s="486">
      <c r="A321" s="151" t="inlineStr">
        <is>
          <t>Error Message</t>
        </is>
      </c>
      <c r="B321" s="152">
        <f>CONCATENATE(B314,ErrMsg.CompareToTaxPayerPin)</f>
        <v/>
      </c>
      <c r="C321" s="152" t="n"/>
      <c r="D321" s="152" t="n"/>
      <c r="E321" s="152" t="inlineStr">
        <is>
          <t>Share of Profit / Surplus for the same PIN needs to be same</t>
        </is>
      </c>
      <c r="F321" s="152" t="n"/>
      <c r="G321" s="152" t="n"/>
      <c r="H321" s="152" t="n"/>
      <c r="I321" s="152" t="n"/>
      <c r="J321" s="152" t="inlineStr">
        <is>
          <t>The Amount of Total Income from Partnership(s) must be equal to "Taxable Income from  Partnership Firm(s) (Wife)" in T_Income_Computation_Wife</t>
        </is>
      </c>
    </row>
    <row r="322">
      <c r="A322" s="151" t="n"/>
      <c r="B322" s="152" t="n"/>
      <c r="C322" s="152" t="n"/>
      <c r="D322" s="152" t="n"/>
      <c r="E322" s="152" t="n"/>
      <c r="F322" s="152" t="n"/>
      <c r="G322" s="152" t="n"/>
      <c r="H322" s="152" t="n"/>
      <c r="I322" s="152" t="n"/>
      <c r="J322" s="152" t="n"/>
    </row>
    <row r="323" ht="51" customHeight="1" s="486">
      <c r="A323" s="149" t="inlineStr">
        <is>
          <t>H_Estate_Trust_Income</t>
        </is>
      </c>
      <c r="B323" s="152" t="inlineStr">
        <is>
          <t>PIN of Estate/Trust/Settlement</t>
        </is>
      </c>
      <c r="C323" s="152" t="inlineStr">
        <is>
          <t>Name of Estate/Trust/Settlement</t>
        </is>
      </c>
      <c r="D323" s="152" t="inlineStr">
        <is>
          <t xml:space="preserve">Amount of Actual Distributable Income </t>
        </is>
      </c>
      <c r="E323" s="152" t="inlineStr">
        <is>
          <t>Taxable Amount on Deemed Basis</t>
        </is>
      </c>
      <c r="F323" s="152" t="inlineStr">
        <is>
          <t>Amount of Share of Income</t>
        </is>
      </c>
      <c r="G323" s="152" t="n"/>
      <c r="H323" s="152" t="n"/>
      <c r="I323" s="152" t="n"/>
      <c r="J323" s="152" t="n"/>
      <c r="R323" s="151" t="inlineStr">
        <is>
          <t>Section H : Details of Share of Income of Estate(s) / Trust(s) / Settlement (Self)</t>
        </is>
      </c>
    </row>
    <row r="324" ht="17" customHeight="1" s="486">
      <c r="A324" s="151" t="inlineStr">
        <is>
          <t>Mandatory</t>
        </is>
      </c>
      <c r="B324" s="152" t="inlineStr">
        <is>
          <t>Y</t>
        </is>
      </c>
      <c r="C324" s="152" t="inlineStr">
        <is>
          <t>Y</t>
        </is>
      </c>
      <c r="D324" s="152" t="inlineStr">
        <is>
          <t>Y</t>
        </is>
      </c>
      <c r="E324" s="152" t="inlineStr">
        <is>
          <t>Y</t>
        </is>
      </c>
      <c r="F324" s="152" t="inlineStr">
        <is>
          <t>Y</t>
        </is>
      </c>
      <c r="G324" s="152" t="n"/>
      <c r="H324" s="152" t="n"/>
      <c r="I324" s="152" t="n"/>
      <c r="J324" s="152" t="n"/>
    </row>
    <row r="325" ht="34" customHeight="1" s="486">
      <c r="A325" s="151" t="inlineStr">
        <is>
          <t>Validation Rule1</t>
        </is>
      </c>
      <c r="B325" s="152" t="inlineStr">
        <is>
          <t>isMandatory(EstateTrust.ListS,B324,"A")</t>
        </is>
      </c>
      <c r="C325" s="152" t="inlineStr">
        <is>
          <t>isMandatory(EstateTrust.ListS,C324,"B")</t>
        </is>
      </c>
      <c r="D325" s="152" t="inlineStr">
        <is>
          <t>isMandatory(EstateTrust.ListS,D324,"C")</t>
        </is>
      </c>
      <c r="E325" s="152" t="inlineStr">
        <is>
          <t>isMandatory(EstateTrust.ListS,E324`,"D")</t>
        </is>
      </c>
      <c r="F325" s="152" t="inlineStr">
        <is>
          <t>isMandatory(EstateTrust.ListS,F324,"E")</t>
        </is>
      </c>
      <c r="G325" s="152" t="n"/>
      <c r="H325" s="152" t="n"/>
      <c r="I325" s="152" t="n"/>
      <c r="J325" s="152" t="n"/>
    </row>
    <row r="326" ht="34" customHeight="1" s="486">
      <c r="A326" s="151" t="inlineStr">
        <is>
          <t>Error Message</t>
        </is>
      </c>
      <c r="B326" s="152">
        <f>CONCATENATE(B323,ErrMsg.Mandatory)</f>
        <v/>
      </c>
      <c r="C326" s="152">
        <f>CONCATENATE(C323,ErrMsg.Mandatory)</f>
        <v/>
      </c>
      <c r="D326" s="152">
        <f>CONCATENATE(D323,ErrMsg.Mandatory)</f>
        <v/>
      </c>
      <c r="E326" s="152">
        <f>CONCATENATE(E323,ErrMsg.Mandatory)</f>
        <v/>
      </c>
      <c r="F326" s="152">
        <f>CONCATENATE(F323,ErrMsg.Mandatory)</f>
        <v/>
      </c>
      <c r="G326" s="152" t="n"/>
      <c r="H326" s="152" t="n"/>
      <c r="I326" s="152" t="n"/>
      <c r="J326" s="152" t="n"/>
    </row>
    <row r="327" ht="34" customHeight="1" s="486">
      <c r="A327" s="151" t="inlineStr">
        <is>
          <t>Validation Rule2</t>
        </is>
      </c>
      <c r="B327" s="152" t="inlineStr">
        <is>
          <t>validatePIN(EstateTrust.ListS,"A")</t>
        </is>
      </c>
      <c r="C327" s="152" t="inlineStr">
        <is>
          <t>validateAlphaNumeric(EstateTrust.ListS,"B")</t>
        </is>
      </c>
      <c r="D327" s="152" t="inlineStr">
        <is>
          <t>validateCurrencyFormat(EstateTrust.ListS,"C")</t>
        </is>
      </c>
      <c r="E327" s="152" t="inlineStr">
        <is>
          <t>validateCurrencyFormat(EstateTrust.ListS,"D")</t>
        </is>
      </c>
      <c r="F327" s="152" t="inlineStr">
        <is>
          <t>validateCurrencyFormat(EstateTrust.ListS,"E")</t>
        </is>
      </c>
      <c r="G327" s="152" t="n"/>
      <c r="H327" s="152" t="n"/>
      <c r="I327" s="152" t="n"/>
      <c r="J327" s="152" t="n"/>
    </row>
    <row r="328" ht="51" customHeight="1" s="486">
      <c r="A328" s="151" t="inlineStr">
        <is>
          <t>Error Message</t>
        </is>
      </c>
      <c r="B328" s="152">
        <f>CONCATENATE("Please enter ",B323,ErrMsg.PinFormat)</f>
        <v/>
      </c>
      <c r="C328" s="152">
        <f>ErrMsg.alphanumeric</f>
        <v/>
      </c>
      <c r="D328" s="152">
        <f>ErrMsg.NumericVal</f>
        <v/>
      </c>
      <c r="E328" s="152">
        <f>ErrMsg.NumericVal</f>
        <v/>
      </c>
      <c r="F328" s="152">
        <f>ErrMsg.NumericVal</f>
        <v/>
      </c>
      <c r="G328" s="152" t="n"/>
      <c r="H328" s="152" t="n"/>
      <c r="I328" s="152" t="n"/>
      <c r="J328" s="152" t="n"/>
    </row>
    <row r="329" ht="34" customHeight="1" s="486">
      <c r="A329" s="151" t="inlineStr">
        <is>
          <t>Validation Rule3</t>
        </is>
      </c>
      <c r="B329" s="152" t="inlineStr">
        <is>
          <t>checkPINDuplication("EstateTrust.ListS",EstateTrust.ListS,"A")</t>
        </is>
      </c>
      <c r="C329" s="152" t="n"/>
      <c r="D329" s="152" t="n"/>
      <c r="E329" s="152" t="n"/>
      <c r="F329" s="152" t="n"/>
      <c r="G329" s="152" t="n"/>
      <c r="H329" s="152" t="n"/>
      <c r="I329" s="152" t="n"/>
      <c r="J329" s="152" t="n"/>
    </row>
    <row r="330" ht="34" customHeight="1" s="486">
      <c r="A330" s="151" t="inlineStr">
        <is>
          <t>Error Message</t>
        </is>
      </c>
      <c r="B330" s="152">
        <f>CONCATENATE(B323,ErrMsg.CompareToTaxPayerPin)</f>
        <v/>
      </c>
      <c r="C330" s="152" t="n"/>
      <c r="D330" s="152" t="n"/>
      <c r="E330" s="152" t="n"/>
      <c r="F330" s="152" t="n"/>
      <c r="G330" s="152" t="n"/>
      <c r="H330" s="152" t="n"/>
      <c r="I330" s="152" t="n"/>
      <c r="J330" s="152" t="n"/>
    </row>
    <row r="331">
      <c r="A331" s="151" t="n"/>
      <c r="B331" s="152" t="n"/>
      <c r="C331" s="152" t="n"/>
      <c r="D331" s="152" t="n"/>
      <c r="E331" s="152" t="n"/>
      <c r="F331" s="152" t="n"/>
      <c r="G331" s="152" t="n"/>
      <c r="H331" s="152" t="n"/>
      <c r="I331" s="152" t="n"/>
      <c r="J331" s="152" t="n"/>
    </row>
    <row r="332" ht="51" customHeight="1" s="486">
      <c r="A332" s="149" t="inlineStr">
        <is>
          <t>H_Estate_Trust_Income</t>
        </is>
      </c>
      <c r="B332" s="152" t="inlineStr">
        <is>
          <t>PIN of Estate/Trust/Settlement</t>
        </is>
      </c>
      <c r="C332" s="152" t="inlineStr">
        <is>
          <t>Name of Estate/Trust/Settlement</t>
        </is>
      </c>
      <c r="D332" s="152" t="inlineStr">
        <is>
          <t xml:space="preserve">Amount of Actual Distributable Income </t>
        </is>
      </c>
      <c r="E332" s="152" t="inlineStr">
        <is>
          <t>Taxable Amount on Deemed Basis</t>
        </is>
      </c>
      <c r="F332" s="152" t="inlineStr">
        <is>
          <t>Amount of Share of Income</t>
        </is>
      </c>
      <c r="G332" s="152" t="n"/>
      <c r="H332" s="152" t="n"/>
      <c r="I332" s="152" t="n"/>
      <c r="J332" s="152" t="n"/>
      <c r="R332" s="151" t="inlineStr">
        <is>
          <t>Section H : Details of Share of Income of Estate(s) / Trust(s) / Settlement (Wife)</t>
        </is>
      </c>
    </row>
    <row r="333" ht="17" customHeight="1" s="486">
      <c r="A333" s="151" t="inlineStr">
        <is>
          <t>Mandatory</t>
        </is>
      </c>
      <c r="B333" s="152" t="inlineStr">
        <is>
          <t>Y</t>
        </is>
      </c>
      <c r="C333" s="152" t="inlineStr">
        <is>
          <t>Y</t>
        </is>
      </c>
      <c r="D333" s="152" t="inlineStr">
        <is>
          <t>Y</t>
        </is>
      </c>
      <c r="E333" s="152" t="inlineStr">
        <is>
          <t>Y</t>
        </is>
      </c>
      <c r="F333" s="152" t="inlineStr">
        <is>
          <t>Y</t>
        </is>
      </c>
      <c r="G333" s="152" t="n"/>
      <c r="H333" s="152" t="n"/>
      <c r="I333" s="152" t="n"/>
      <c r="J333" s="152" t="n"/>
    </row>
    <row r="334" ht="51" customHeight="1" s="486">
      <c r="A334" s="151" t="inlineStr">
        <is>
          <t>Validation Rule1</t>
        </is>
      </c>
      <c r="B334" s="152" t="inlineStr">
        <is>
          <t>IF(RetInf.DeclareWifeIncome="Yes",isMandatory(EstateTrust.ListW,B333,"A"),"NE")</t>
        </is>
      </c>
      <c r="C334" s="152" t="inlineStr">
        <is>
          <t>IF(RetInf.DeclareWifeIncome="Yes",isMandatory(EstateTrust.ListW,C333,"B"),"NE")</t>
        </is>
      </c>
      <c r="D334" s="152" t="inlineStr">
        <is>
          <t>IF(RetInf.DeclareWifeIncome="Yes",isMandatory(EstateTrust.ListW,D333,"C"),"NE")</t>
        </is>
      </c>
      <c r="E334" s="152" t="inlineStr">
        <is>
          <t>IF(RetInf.DeclareWifeIncome="Yes",isMandatory(EstateTrust.ListW,E333,"D"),"NE")</t>
        </is>
      </c>
      <c r="F334" s="152" t="inlineStr">
        <is>
          <t>IF(RetInf.DeclareWifeIncome="Yes",isMandatory(EstateTrust.ListW,F333,"E"),"NE")</t>
        </is>
      </c>
      <c r="G334" s="152" t="n"/>
      <c r="H334" s="152" t="n"/>
      <c r="I334" s="152" t="n"/>
      <c r="J334" s="152" t="n"/>
    </row>
    <row r="335" ht="34" customHeight="1" s="486">
      <c r="A335" s="151" t="inlineStr">
        <is>
          <t>Error Message</t>
        </is>
      </c>
      <c r="B335" s="152">
        <f>CONCATENATE(B332,ErrMsg.Mandatory)</f>
        <v/>
      </c>
      <c r="C335" s="152">
        <f>CONCATENATE(C332,ErrMsg.Mandatory)</f>
        <v/>
      </c>
      <c r="D335" s="152">
        <f>CONCATENATE(D332,ErrMsg.Mandatory)</f>
        <v/>
      </c>
      <c r="E335" s="152">
        <f>CONCATENATE(E332,ErrMsg.Mandatory)</f>
        <v/>
      </c>
      <c r="F335" s="152">
        <f>CONCATENATE(F332,ErrMsg.Mandatory)</f>
        <v/>
      </c>
      <c r="G335" s="152" t="n"/>
      <c r="H335" s="152" t="n"/>
      <c r="I335" s="152" t="n"/>
      <c r="J335" s="152" t="n"/>
    </row>
    <row r="336" ht="51" customHeight="1" s="486">
      <c r="A336" s="151" t="inlineStr">
        <is>
          <t>Validation Rule2</t>
        </is>
      </c>
      <c r="B336" s="152" t="inlineStr">
        <is>
          <t>IF(RetInf.DeclareWifeIncome="Yes",validatePIN(EstateTrust.ListW,"A"),"NE")</t>
        </is>
      </c>
      <c r="C336" s="152" t="inlineStr">
        <is>
          <t>IF(RetInf.DeclareWifeIncome="Yes",validateAlphaNumeric(EstateTrust.ListW,"B"),"NE")</t>
        </is>
      </c>
      <c r="D336" s="152" t="inlineStr">
        <is>
          <t>IF(RetInf.DeclareWifeIncome="Yes",validateCurrencyFormat(EstateTrust.ListW,"C"),"NE")</t>
        </is>
      </c>
      <c r="E336" s="152" t="inlineStr">
        <is>
          <t>IF(RetInf.DeclareWifeIncome="Yes",validateCurrencyFormat(EstateTrust.ListW,"D"),"NE")</t>
        </is>
      </c>
      <c r="F336" s="152" t="inlineStr">
        <is>
          <t>IF(RetInf.DeclareWifeIncome="Yes",validateCurrencyFormat(EstateTrust.ListW,"E"),"NE")</t>
        </is>
      </c>
      <c r="G336" s="152" t="n"/>
      <c r="H336" s="152" t="n"/>
      <c r="I336" s="152" t="n"/>
      <c r="J336" s="152" t="n"/>
    </row>
    <row r="337" ht="51" customHeight="1" s="486">
      <c r="A337" s="151" t="inlineStr">
        <is>
          <t>Error Message</t>
        </is>
      </c>
      <c r="B337" s="152">
        <f>CONCATENATE("Please enter ",B332,ErrMsg.PinFormat)</f>
        <v/>
      </c>
      <c r="C337" s="152">
        <f>ErrMsg.alphanumeric</f>
        <v/>
      </c>
      <c r="D337" s="152">
        <f>ErrMsg.NumericVal</f>
        <v/>
      </c>
      <c r="E337" s="152">
        <f>ErrMsg.NumericVal</f>
        <v/>
      </c>
      <c r="F337" s="152">
        <f>ErrMsg.NumericVal</f>
        <v/>
      </c>
      <c r="G337" s="152" t="n"/>
      <c r="H337" s="152" t="n"/>
      <c r="I337" s="152" t="n"/>
      <c r="J337" s="152" t="n"/>
    </row>
    <row r="338" ht="51" customHeight="1" s="486">
      <c r="A338" s="151" t="inlineStr">
        <is>
          <t>Validation Rule3</t>
        </is>
      </c>
      <c r="B338" s="152" t="inlineStr">
        <is>
          <t>IF(RetInf.DeclareWifeIncome="Yes",checkPINDuplication("EstateTrust.ListW",EstateTrust.ListW,"A"),"NE")</t>
        </is>
      </c>
      <c r="C338" s="152" t="n"/>
      <c r="D338" s="152" t="n"/>
      <c r="E338" s="152" t="n"/>
      <c r="F338" s="152" t="n"/>
      <c r="G338" s="152" t="n"/>
      <c r="H338" s="152" t="n"/>
      <c r="I338" s="152" t="n"/>
      <c r="J338" s="152" t="n"/>
    </row>
    <row r="339" ht="34" customHeight="1" s="486">
      <c r="A339" s="151" t="inlineStr">
        <is>
          <t>Error Message</t>
        </is>
      </c>
      <c r="B339" s="152">
        <f>CONCATENATE(B332,ErrMsg.CompareToTaxPayerPin)</f>
        <v/>
      </c>
      <c r="C339" s="152" t="n"/>
      <c r="D339" s="152" t="n"/>
      <c r="E339" s="152" t="n"/>
      <c r="F339" s="152" t="n"/>
      <c r="G339" s="152" t="n"/>
      <c r="H339" s="152" t="n"/>
      <c r="I339" s="152" t="n"/>
      <c r="J339" s="152" t="n"/>
    </row>
    <row r="341" ht="34" customFormat="1" customHeight="1" s="150">
      <c r="A341" s="149" t="inlineStr">
        <is>
          <t>B_Profit_Loss_Account_Self</t>
        </is>
      </c>
      <c r="B341" s="149" t="inlineStr">
        <is>
          <t>Name of Expense</t>
        </is>
      </c>
      <c r="C341" s="149" t="inlineStr">
        <is>
          <t>Business</t>
        </is>
      </c>
      <c r="D341" s="149" t="inlineStr">
        <is>
          <t>Farming</t>
        </is>
      </c>
      <c r="E341" s="149" t="inlineStr">
        <is>
          <t>Rental</t>
        </is>
      </c>
      <c r="F341" s="149" t="inlineStr">
        <is>
          <t>Interest</t>
        </is>
      </c>
      <c r="G341" s="149" t="inlineStr">
        <is>
          <t>Commission</t>
        </is>
      </c>
      <c r="H341" s="149" t="inlineStr">
        <is>
          <t>Other</t>
        </is>
      </c>
      <c r="I341" s="149" t="n"/>
      <c r="J341" s="149" t="n"/>
      <c r="K341" s="149" t="n"/>
      <c r="L341" s="149" t="n"/>
      <c r="M341" s="149" t="n"/>
      <c r="N341" s="149" t="n"/>
      <c r="O341" s="149" t="n"/>
      <c r="P341" s="149" t="n"/>
      <c r="Q341" s="149" t="n"/>
      <c r="R341" s="149" t="inlineStr">
        <is>
          <t>Section B : Profit / Surplus and Loss Account (Self)</t>
        </is>
      </c>
    </row>
    <row r="342" ht="17" customHeight="1" s="486">
      <c r="A342" s="151" t="inlineStr">
        <is>
          <t>Mandatory</t>
        </is>
      </c>
      <c r="B342" s="151" t="inlineStr">
        <is>
          <t>Y</t>
        </is>
      </c>
      <c r="C342" s="151" t="inlineStr">
        <is>
          <t>Y</t>
        </is>
      </c>
      <c r="D342" s="151" t="inlineStr">
        <is>
          <t>Y</t>
        </is>
      </c>
      <c r="E342" s="151" t="inlineStr">
        <is>
          <t>Y</t>
        </is>
      </c>
      <c r="F342" s="151" t="inlineStr">
        <is>
          <t>Y</t>
        </is>
      </c>
      <c r="G342" s="151" t="inlineStr">
        <is>
          <t>Y</t>
        </is>
      </c>
      <c r="H342" s="151" t="inlineStr">
        <is>
          <t>Y</t>
        </is>
      </c>
    </row>
    <row r="343" ht="34" customHeight="1" s="486">
      <c r="A343" s="151" t="inlineStr">
        <is>
          <t>Validation Rule1</t>
        </is>
      </c>
      <c r="B343" s="151" t="inlineStr">
        <is>
          <t>isMandatory(PLA.OtherExpensesListS,B342,"B")</t>
        </is>
      </c>
      <c r="C343" s="151" t="inlineStr">
        <is>
          <t>isMandatory(PLA.OtherExpensesListS,C342,"C")</t>
        </is>
      </c>
      <c r="D343" s="151" t="inlineStr">
        <is>
          <t>isMandatory(PLA.OtherExpensesListS,D342,"D")</t>
        </is>
      </c>
      <c r="E343" s="151" t="inlineStr">
        <is>
          <t>isMandatory(PLA.OtherExpensesListS,E342,"E")</t>
        </is>
      </c>
      <c r="F343" s="151" t="inlineStr">
        <is>
          <t>isMandatory(PLA.OtherExpensesListS,F342,"F")</t>
        </is>
      </c>
      <c r="G343" s="151" t="inlineStr">
        <is>
          <t>isMandatory(PLA.OtherExpensesListS,G342,"G")</t>
        </is>
      </c>
      <c r="H343" s="151" t="inlineStr">
        <is>
          <t>isMandatory(PLA.OtherExpensesListS,H342,"H")</t>
        </is>
      </c>
    </row>
    <row r="344" ht="34" customHeight="1" s="486">
      <c r="A344" s="151" t="inlineStr">
        <is>
          <t>Error Message</t>
        </is>
      </c>
      <c r="B344" s="151">
        <f>CONCATENATE(B341,ErrMsg.Mandatory)</f>
        <v/>
      </c>
      <c r="C344" s="151">
        <f>CONCATENATE(C341,ErrMsg.Mandatory)</f>
        <v/>
      </c>
      <c r="D344" s="151">
        <f>CONCATENATE(D341,ErrMsg.Mandatory)</f>
        <v/>
      </c>
      <c r="E344" s="151">
        <f>CONCATENATE(E341,ErrMsg.Mandatory)</f>
        <v/>
      </c>
      <c r="F344" s="151">
        <f>CONCATENATE(F341,ErrMsg.Mandatory)</f>
        <v/>
      </c>
      <c r="G344" s="151">
        <f>CONCATENATE(G341,ErrMsg.Mandatory)</f>
        <v/>
      </c>
      <c r="H344" s="151">
        <f>CONCATENATE(H341,ErrMsg.Mandatory)</f>
        <v/>
      </c>
    </row>
    <row r="345" ht="34" customHeight="1" s="486">
      <c r="A345" s="151" t="inlineStr">
        <is>
          <t>Validation Rule2</t>
        </is>
      </c>
      <c r="B345" s="151" t="inlineStr">
        <is>
          <t>validateAlphaNumeric(PLA.OtherExpensesListS,"B")</t>
        </is>
      </c>
      <c r="C345" s="151" t="inlineStr">
        <is>
          <t>validateCurrencyFormat(PLA.OtherExpensesListS,"C")</t>
        </is>
      </c>
      <c r="D345" s="151" t="inlineStr">
        <is>
          <t>validateCurrencyFormat(PLA.OtherExpensesListS,"D")</t>
        </is>
      </c>
      <c r="E345" s="151" t="inlineStr">
        <is>
          <t>validateCurrencyFormat(PLA.OtherExpensesListS,"E")</t>
        </is>
      </c>
      <c r="F345" s="151" t="inlineStr">
        <is>
          <t>validateCurrencyFormat(PLA.OtherExpensesListS,"F")</t>
        </is>
      </c>
      <c r="G345" s="151" t="inlineStr">
        <is>
          <t>validateCurrencyFormat(PLA.OtherExpensesListS,"G")</t>
        </is>
      </c>
      <c r="H345" s="151" t="inlineStr">
        <is>
          <t>validateCurrencyFormat(PLA.OtherExpensesListS,"H")</t>
        </is>
      </c>
    </row>
    <row r="346" ht="51" customHeight="1" s="486">
      <c r="A346" s="151" t="inlineStr">
        <is>
          <t>Error Message</t>
        </is>
      </c>
      <c r="B346" s="152">
        <f>ErrMsg.alphanumeric</f>
        <v/>
      </c>
      <c r="C346" s="152">
        <f>ErrMsg.NumericVal</f>
        <v/>
      </c>
      <c r="D346" s="152">
        <f>ErrMsg.NumericVal</f>
        <v/>
      </c>
      <c r="E346" s="152">
        <f>ErrMsg.NumericVal</f>
        <v/>
      </c>
      <c r="F346" s="152">
        <f>ErrMsg.NumericVal</f>
        <v/>
      </c>
      <c r="G346" s="152">
        <f>ErrMsg.NumericVal</f>
        <v/>
      </c>
      <c r="H346" s="152">
        <f>ErrMsg.NumericVal</f>
        <v/>
      </c>
    </row>
    <row r="348" ht="34" customFormat="1" customHeight="1" s="150">
      <c r="A348" s="149" t="inlineStr">
        <is>
          <t>B_Profit_Loss_Account_Wife</t>
        </is>
      </c>
      <c r="B348" s="149" t="inlineStr">
        <is>
          <t>Name of Expense</t>
        </is>
      </c>
      <c r="C348" s="149" t="inlineStr">
        <is>
          <t>Business</t>
        </is>
      </c>
      <c r="D348" s="149" t="inlineStr">
        <is>
          <t>Farming</t>
        </is>
      </c>
      <c r="E348" s="149" t="inlineStr">
        <is>
          <t>Rental</t>
        </is>
      </c>
      <c r="F348" s="149" t="inlineStr">
        <is>
          <t>Interest</t>
        </is>
      </c>
      <c r="G348" s="149" t="inlineStr">
        <is>
          <t>Commission</t>
        </is>
      </c>
      <c r="H348" s="149" t="inlineStr">
        <is>
          <t>Other</t>
        </is>
      </c>
      <c r="I348" s="149" t="n"/>
      <c r="J348" s="149" t="n"/>
      <c r="K348" s="149" t="n"/>
      <c r="L348" s="149" t="n"/>
      <c r="M348" s="149" t="n"/>
      <c r="N348" s="149" t="n"/>
      <c r="O348" s="149" t="n"/>
      <c r="P348" s="149" t="n"/>
      <c r="Q348" s="149" t="n"/>
      <c r="R348" s="149" t="inlineStr">
        <is>
          <t>Section B : Profit / Surplus and Loss Account (Wife)</t>
        </is>
      </c>
    </row>
    <row r="349" ht="17" customHeight="1" s="486">
      <c r="A349" s="151" t="inlineStr">
        <is>
          <t>Mandatory</t>
        </is>
      </c>
      <c r="B349" s="151" t="inlineStr">
        <is>
          <t>Y</t>
        </is>
      </c>
      <c r="C349" s="151" t="inlineStr">
        <is>
          <t>Y</t>
        </is>
      </c>
      <c r="D349" s="151" t="inlineStr">
        <is>
          <t>Y</t>
        </is>
      </c>
      <c r="E349" s="151" t="inlineStr">
        <is>
          <t>Y</t>
        </is>
      </c>
      <c r="F349" s="151" t="inlineStr">
        <is>
          <t>Y</t>
        </is>
      </c>
      <c r="G349" s="151" t="inlineStr">
        <is>
          <t>Y</t>
        </is>
      </c>
      <c r="H349" s="151" t="inlineStr">
        <is>
          <t>Y</t>
        </is>
      </c>
    </row>
    <row r="350" ht="34" customHeight="1" s="486">
      <c r="A350" s="151" t="inlineStr">
        <is>
          <t>Validation Rule1</t>
        </is>
      </c>
      <c r="B350" s="151" t="inlineStr">
        <is>
          <t>isMandatory(PLA.OtherExpensesListW,B349,"B")</t>
        </is>
      </c>
      <c r="C350" s="151" t="inlineStr">
        <is>
          <t>isMandatory(PLA.OtherExpensesListW,C349,"C")</t>
        </is>
      </c>
      <c r="D350" s="151" t="inlineStr">
        <is>
          <t>isMandatory(PLA.OtherExpensesListW,D349,"D")</t>
        </is>
      </c>
      <c r="E350" s="151" t="inlineStr">
        <is>
          <t>isMandatory(PLA.OtherExpensesListW,E349,"E")</t>
        </is>
      </c>
      <c r="F350" s="151" t="inlineStr">
        <is>
          <t>isMandatory(PLA.OtherExpensesListW,F349,"F")</t>
        </is>
      </c>
      <c r="G350" s="151" t="inlineStr">
        <is>
          <t>isMandatory(PLA.OtherExpensesListW,G349,"G")</t>
        </is>
      </c>
      <c r="H350" s="151" t="inlineStr">
        <is>
          <t>isMandatory(PLA.OtherExpensesListW,H349,"H")</t>
        </is>
      </c>
    </row>
    <row r="351" ht="34" customHeight="1" s="486">
      <c r="A351" s="151" t="inlineStr">
        <is>
          <t>Error Message</t>
        </is>
      </c>
      <c r="B351" s="151">
        <f>CONCATENATE(B348,ErrMsg.Mandatory)</f>
        <v/>
      </c>
      <c r="C351" s="151">
        <f>CONCATENATE(C348,ErrMsg.Mandatory)</f>
        <v/>
      </c>
      <c r="D351" s="151">
        <f>CONCATENATE(D348,ErrMsg.Mandatory)</f>
        <v/>
      </c>
      <c r="E351" s="151">
        <f>CONCATENATE(E348,ErrMsg.Mandatory)</f>
        <v/>
      </c>
      <c r="F351" s="151">
        <f>CONCATENATE(F348,ErrMsg.Mandatory)</f>
        <v/>
      </c>
      <c r="G351" s="151">
        <f>CONCATENATE(G348,ErrMsg.Mandatory)</f>
        <v/>
      </c>
      <c r="H351" s="151">
        <f>CONCATENATE(H348,ErrMsg.Mandatory)</f>
        <v/>
      </c>
    </row>
    <row r="352" ht="34" customHeight="1" s="486">
      <c r="A352" s="151" t="inlineStr">
        <is>
          <t>Validation Rule2</t>
        </is>
      </c>
      <c r="B352" s="151" t="inlineStr">
        <is>
          <t>validateAlphaNumeric(PLA.OtherExpensesListW,"B")</t>
        </is>
      </c>
      <c r="C352" s="151" t="inlineStr">
        <is>
          <t>validateCurrencyFormat(PLA.OtherExpensesListW,"C")</t>
        </is>
      </c>
      <c r="D352" s="151" t="inlineStr">
        <is>
          <t>validateCurrencyFormat(PLA.OtherExpensesListW,"D")</t>
        </is>
      </c>
      <c r="E352" s="151" t="inlineStr">
        <is>
          <t>validateCurrencyFormat(PLA.OtherExpensesListW,"E")</t>
        </is>
      </c>
      <c r="F352" s="151" t="inlineStr">
        <is>
          <t>validateCurrencyFormat(PLA.OtherExpensesListW,"F")</t>
        </is>
      </c>
      <c r="G352" s="151" t="inlineStr">
        <is>
          <t>validateCurrencyFormat(PLA.OtherExpensesListW,"G")</t>
        </is>
      </c>
      <c r="H352" s="151" t="inlineStr">
        <is>
          <t>validateCurrencyFormat(PLA.OtherExpensesListW,"H")</t>
        </is>
      </c>
    </row>
    <row r="353" ht="51" customHeight="1" s="486">
      <c r="A353" s="151" t="inlineStr">
        <is>
          <t>Error Message</t>
        </is>
      </c>
      <c r="B353" s="152">
        <f>ErrMsg.alphanumeric</f>
        <v/>
      </c>
      <c r="C353" s="152">
        <f>ErrMsg.NumericVal</f>
        <v/>
      </c>
      <c r="D353" s="152">
        <f>ErrMsg.NumericVal</f>
        <v/>
      </c>
      <c r="E353" s="152">
        <f>ErrMsg.NumericVal</f>
        <v/>
      </c>
      <c r="F353" s="152">
        <f>ErrMsg.NumericVal</f>
        <v/>
      </c>
      <c r="G353" s="152">
        <f>ErrMsg.NumericVal</f>
        <v/>
      </c>
      <c r="H353" s="152">
        <f>ErrMsg.NumericVal</f>
        <v/>
      </c>
    </row>
    <row r="354">
      <c r="A354" s="151" t="n"/>
      <c r="B354" s="152" t="n"/>
      <c r="C354" s="152" t="n"/>
      <c r="D354" s="152" t="n"/>
      <c r="E354" s="152" t="n"/>
      <c r="F354" s="152" t="n"/>
      <c r="G354" s="152" t="n"/>
      <c r="H354" s="152" t="n"/>
    </row>
    <row r="355" ht="17" customHeight="1" s="486">
      <c r="A355" s="149" t="inlineStr">
        <is>
          <t>Q_IT_Payment_Credits</t>
        </is>
      </c>
      <c r="B355" s="153" t="inlineStr">
        <is>
          <t>Payment Registration Number</t>
        </is>
      </c>
      <c r="C355" s="153" t="inlineStr">
        <is>
          <t>Date of Deposit</t>
        </is>
      </c>
      <c r="D355" s="153" t="inlineStr">
        <is>
          <t>Amount of Income Tax Paid (Ksh)</t>
        </is>
      </c>
      <c r="R355" s="149" t="inlineStr">
        <is>
          <t>Section Q1 : Advance Payment (Self)</t>
        </is>
      </c>
    </row>
    <row r="356" ht="17" customHeight="1" s="486">
      <c r="A356" s="151" t="inlineStr">
        <is>
          <t>Mandatory</t>
        </is>
      </c>
      <c r="B356" s="151" t="inlineStr">
        <is>
          <t>Y</t>
        </is>
      </c>
      <c r="C356" s="151" t="inlineStr">
        <is>
          <t>Y</t>
        </is>
      </c>
      <c r="D356" s="151" t="inlineStr">
        <is>
          <t>Y</t>
        </is>
      </c>
    </row>
    <row r="357" ht="34" customHeight="1" s="486">
      <c r="A357" s="151" t="inlineStr">
        <is>
          <t>Validation Rule1</t>
        </is>
      </c>
      <c r="B357" s="151" t="inlineStr">
        <is>
          <t>isMandatory(DtlIncomePaid.IncomePaidAdvanceListS,B356,"A")</t>
        </is>
      </c>
      <c r="C357" s="151" t="inlineStr">
        <is>
          <t>isMandatory(DtlIncomePaid.IncomePaidAdvanceListS,C356,"B")</t>
        </is>
      </c>
      <c r="D357" s="151" t="inlineStr">
        <is>
          <t>isMandatory(DtlIncomePaid.IncomePaidAdvanceListS,D356,"C")</t>
        </is>
      </c>
    </row>
    <row r="358" ht="34" customHeight="1" s="486">
      <c r="A358" s="151" t="inlineStr">
        <is>
          <t>Error Message</t>
        </is>
      </c>
      <c r="B358" s="151">
        <f>CONCATENATE(B355,ErrMsg.Mandatory)</f>
        <v/>
      </c>
      <c r="C358" s="151">
        <f>CONCATENATE(C355,ErrMsg.Mandatory)</f>
        <v/>
      </c>
      <c r="D358" s="151">
        <f>CONCATENATE(D355,ErrMsg.Mandatory)</f>
        <v/>
      </c>
    </row>
    <row r="359" ht="34" customHeight="1" s="486">
      <c r="A359" s="151" t="inlineStr">
        <is>
          <t>Validation Rule2</t>
        </is>
      </c>
      <c r="B359" s="152" t="inlineStr">
        <is>
          <t>validatePRNNumeric(DtlIncomePaid.IncomePaidAdvanceListS,"A")</t>
        </is>
      </c>
      <c r="C359" s="152" t="inlineStr">
        <is>
          <t>validateDate(DtlIncomePaid.IncomePaidAdvanceListS,"B")</t>
        </is>
      </c>
      <c r="D359" s="151" t="inlineStr">
        <is>
          <t>validateCurrencyFormat(DtlIncomePaid.IncomePaidAdvanceListS,"C")</t>
        </is>
      </c>
    </row>
    <row r="360" ht="34" customHeight="1" s="486">
      <c r="A360" s="151" t="inlineStr">
        <is>
          <t>Error Message</t>
        </is>
      </c>
      <c r="B360" s="152" t="inlineStr">
        <is>
          <t>Please enter numeric value.Only Special characters like (-) is allowed.</t>
        </is>
      </c>
      <c r="C360" s="152" t="inlineStr">
        <is>
          <t>Please enter date in proper format</t>
        </is>
      </c>
      <c r="D360" s="152">
        <f>ErrMsg.NumericVal</f>
        <v/>
      </c>
    </row>
    <row r="361" ht="51" customHeight="1" s="486">
      <c r="A361" s="151" t="inlineStr">
        <is>
          <t>Validation Rule3</t>
        </is>
      </c>
      <c r="B361" s="152" t="inlineStr">
        <is>
          <t>validatePRNAllzero(DtlIncomePaid.IncomePaidAdvanceListS,"A")</t>
        </is>
      </c>
      <c r="C361" s="151" t="inlineStr">
        <is>
          <t>validateDateBfrCurrentDate(DtlIncomePaid.IncomePaidAdvanceListS,"B")</t>
        </is>
      </c>
      <c r="D361" s="152" t="inlineStr">
        <is>
          <t>validatePrnAmount(DtlIncomePaid.IncomePaidAdvanceListS,"C")</t>
        </is>
      </c>
    </row>
    <row r="362" ht="68" customHeight="1" s="486">
      <c r="A362" s="151" t="inlineStr">
        <is>
          <t>Error Message</t>
        </is>
      </c>
      <c r="B362" s="152" t="inlineStr">
        <is>
          <t>All the digits in the Payment Registration Number cannot be '0'. Please enter Payment Registration Number in proper format.</t>
        </is>
      </c>
      <c r="C362" s="151" t="inlineStr">
        <is>
          <t>Date of Deposit should be on or before current Date.</t>
        </is>
      </c>
      <c r="D362" s="152" t="inlineStr">
        <is>
          <t>Please enter numeric value greater than zero.</t>
        </is>
      </c>
    </row>
    <row r="364" ht="17" customHeight="1" s="486">
      <c r="A364" s="149" t="inlineStr">
        <is>
          <t>Q_IT_Payment_Credits</t>
        </is>
      </c>
      <c r="B364" s="153" t="inlineStr">
        <is>
          <t>Payment Registration Number</t>
        </is>
      </c>
      <c r="C364" s="153" t="inlineStr">
        <is>
          <t>Date of Deposit</t>
        </is>
      </c>
      <c r="D364" s="153" t="inlineStr">
        <is>
          <t>Amount of Income Tax Paid (Ksh)</t>
        </is>
      </c>
      <c r="R364" s="151" t="inlineStr">
        <is>
          <t>Section Q2 : Self Assessment Tax (Self)</t>
        </is>
      </c>
    </row>
    <row r="365" ht="17" customHeight="1" s="486">
      <c r="A365" s="151" t="inlineStr">
        <is>
          <t>Mandatory</t>
        </is>
      </c>
      <c r="B365" s="151" t="inlineStr">
        <is>
          <t>Y</t>
        </is>
      </c>
      <c r="C365" s="151" t="inlineStr">
        <is>
          <t>Y</t>
        </is>
      </c>
      <c r="D365" s="151" t="inlineStr">
        <is>
          <t>Y</t>
        </is>
      </c>
    </row>
    <row r="366" ht="34" customHeight="1" s="486">
      <c r="A366" s="151" t="inlineStr">
        <is>
          <t>Validation Rule1</t>
        </is>
      </c>
      <c r="B366" s="151" t="inlineStr">
        <is>
          <t>isMandatory(DtlIncomePaid.IncomePaidSelfAssmntListS,B365,"A")</t>
        </is>
      </c>
      <c r="C366" s="151" t="inlineStr">
        <is>
          <t>isMandatory(DtlIncomePaid.IncomePaidSelfAssmntListS,C365,"B")</t>
        </is>
      </c>
      <c r="D366" s="151" t="inlineStr">
        <is>
          <t>isMandatory(DtlIncomePaid.IncomePaidSelfAssmntListS,D365,"C")</t>
        </is>
      </c>
    </row>
    <row r="367" ht="34" customHeight="1" s="486">
      <c r="A367" s="151" t="inlineStr">
        <is>
          <t>Error Message</t>
        </is>
      </c>
      <c r="B367" s="151">
        <f>CONCATENATE(B364,ErrMsg.Mandatory)</f>
        <v/>
      </c>
      <c r="C367" s="151">
        <f>CONCATENATE(C364,ErrMsg.Mandatory)</f>
        <v/>
      </c>
      <c r="D367" s="151">
        <f>CONCATENATE(D364,ErrMsg.Mandatory)</f>
        <v/>
      </c>
    </row>
    <row r="368" ht="51" customHeight="1" s="486">
      <c r="A368" s="151" t="inlineStr">
        <is>
          <t>Validation Rule2</t>
        </is>
      </c>
      <c r="B368" s="152" t="inlineStr">
        <is>
          <t>validatePRNNumeric(DtlIncomePaid.IncomePaidSelfAssmntListS,"A")</t>
        </is>
      </c>
      <c r="C368" s="152" t="inlineStr">
        <is>
          <t>validateDate(DtlIncomePaid.IncomePaidSelfAssmntListS,"B")</t>
        </is>
      </c>
      <c r="D368" s="151" t="inlineStr">
        <is>
          <t>validateCurrencyFormat(DtlIncomePaid.IncomePaidSelfAssmntListS,"C")</t>
        </is>
      </c>
    </row>
    <row r="369" ht="34" customHeight="1" s="486">
      <c r="A369" s="151" t="inlineStr">
        <is>
          <t>Error Message</t>
        </is>
      </c>
      <c r="B369" s="152" t="inlineStr">
        <is>
          <t>Please enter numeric value.Only Special characters like (-) is allowed.</t>
        </is>
      </c>
      <c r="C369" s="152" t="n"/>
      <c r="D369" s="152">
        <f>ErrMsg.NumericVal</f>
        <v/>
      </c>
    </row>
    <row r="370" ht="51" customHeight="1" s="486">
      <c r="A370" s="151" t="inlineStr">
        <is>
          <t>Validation Rule3</t>
        </is>
      </c>
      <c r="B370" s="152" t="inlineStr">
        <is>
          <t>validatePRNAllzero(DtlIncomePaid.IncomePaidSelfAssmntListS,"A")</t>
        </is>
      </c>
      <c r="C370" s="151" t="inlineStr">
        <is>
          <t>validateDateBtnRtnPeriodSysDate(DtlIncomePaid.IncomePaidSelfAssmntListS,"B")</t>
        </is>
      </c>
      <c r="D370" s="152" t="inlineStr">
        <is>
          <t>validatePrnAmount(DtlIncomePaid.IncomePaidSelfAssmntListS,"C")</t>
        </is>
      </c>
    </row>
    <row r="371" ht="68" customHeight="1" s="486">
      <c r="A371" s="151" t="inlineStr">
        <is>
          <t>Error Message</t>
        </is>
      </c>
      <c r="B371" s="152" t="inlineStr">
        <is>
          <t>All the digits in the Payment Registration Number cannot be '0'. Please enter Payment Registration Number in proper format.</t>
        </is>
      </c>
      <c r="C371" s="151" t="inlineStr">
        <is>
          <t>Date of Deposit should be between after Return Reriod and current Date.</t>
        </is>
      </c>
      <c r="D371" s="152" t="inlineStr">
        <is>
          <t>Please enter numeric value greater than zero.</t>
        </is>
      </c>
    </row>
    <row r="373" ht="17" customHeight="1" s="486">
      <c r="A373" s="149" t="inlineStr">
        <is>
          <t>Q_IT_Payment_Credits</t>
        </is>
      </c>
      <c r="B373" s="153" t="inlineStr">
        <is>
          <t>Payment Registration Number</t>
        </is>
      </c>
      <c r="C373" s="153" t="inlineStr">
        <is>
          <t>Date of Deposit</t>
        </is>
      </c>
      <c r="D373" s="153" t="inlineStr">
        <is>
          <t>Amount of Income Tax Paid (Ksh)</t>
        </is>
      </c>
      <c r="R373" s="149" t="inlineStr">
        <is>
          <t>Section Q1 : Advance Payment (Wife)</t>
        </is>
      </c>
    </row>
    <row r="374" ht="17" customHeight="1" s="486">
      <c r="A374" s="151" t="inlineStr">
        <is>
          <t>Mandatory</t>
        </is>
      </c>
      <c r="B374" s="151" t="inlineStr">
        <is>
          <t>Y</t>
        </is>
      </c>
      <c r="C374" s="151" t="inlineStr">
        <is>
          <t>Y</t>
        </is>
      </c>
      <c r="D374" s="151" t="inlineStr">
        <is>
          <t>Y</t>
        </is>
      </c>
    </row>
    <row r="375" ht="34" customHeight="1" s="486">
      <c r="A375" s="151" t="inlineStr">
        <is>
          <t>Validation Rule1</t>
        </is>
      </c>
      <c r="B375" s="151" t="inlineStr">
        <is>
          <t>isMandatory(DtlIncomePaid.IncomePaidAdvanceListW,B374,"A")</t>
        </is>
      </c>
      <c r="C375" s="151" t="inlineStr">
        <is>
          <t>isMandatory(DtlIncomePaid.IncomePaidAdvanceListW,C374,"B")</t>
        </is>
      </c>
      <c r="D375" s="151" t="inlineStr">
        <is>
          <t>isMandatory(DtlIncomePaid.IncomePaidAdvanceListW,D374,"C")</t>
        </is>
      </c>
    </row>
    <row r="376" ht="34" customHeight="1" s="486">
      <c r="A376" s="151" t="inlineStr">
        <is>
          <t>Error Message</t>
        </is>
      </c>
      <c r="B376" s="151">
        <f>CONCATENATE(B373,ErrMsg.Mandatory)</f>
        <v/>
      </c>
      <c r="C376" s="151">
        <f>CONCATENATE(C373,ErrMsg.Mandatory)</f>
        <v/>
      </c>
      <c r="D376" s="151">
        <f>CONCATENATE(D373,ErrMsg.Mandatory)</f>
        <v/>
      </c>
    </row>
    <row r="377" ht="34" customHeight="1" s="486">
      <c r="A377" s="151" t="inlineStr">
        <is>
          <t>Validation Rule2</t>
        </is>
      </c>
      <c r="B377" s="152" t="inlineStr">
        <is>
          <t>validatePRNNumeric(DtlIncomePaid.IncomePaidAdvanceListW,"A")</t>
        </is>
      </c>
      <c r="C377" s="152" t="inlineStr">
        <is>
          <t>validateDate(DtlIncomePaid.IncomePaidAdvanceListW,"B")</t>
        </is>
      </c>
      <c r="D377" s="151" t="inlineStr">
        <is>
          <t>validateCurrencyFormat(DtlIncomePaid.IncomePaidAdvanceListW,"C")</t>
        </is>
      </c>
    </row>
    <row r="378" ht="34" customHeight="1" s="486">
      <c r="A378" s="151" t="inlineStr">
        <is>
          <t>Error Message</t>
        </is>
      </c>
      <c r="B378" s="152" t="inlineStr">
        <is>
          <t>Please enter numeric value.Only Special characters like (-) is allowed.</t>
        </is>
      </c>
      <c r="C378" s="152" t="inlineStr">
        <is>
          <t>Please enter date in proper format</t>
        </is>
      </c>
      <c r="D378" s="152">
        <f>ErrMsg.NumericVal</f>
        <v/>
      </c>
    </row>
    <row r="379" ht="51" customHeight="1" s="486">
      <c r="A379" s="151" t="inlineStr">
        <is>
          <t>Validation Rule3</t>
        </is>
      </c>
      <c r="B379" s="152" t="inlineStr">
        <is>
          <t>validatePRNAllzero(DtlIncomePaid.IncomePaidAdvanceListW,"A")</t>
        </is>
      </c>
      <c r="C379" s="151" t="inlineStr">
        <is>
          <t>validateDateBfrCurrentDate(DtlIncomePaid.IncomePaidAdvanceListW,"B")</t>
        </is>
      </c>
      <c r="D379" s="152" t="inlineStr">
        <is>
          <t>validatePrnAmount(DtlIncomePaid.IncomePaidAdvanceListW,"C")</t>
        </is>
      </c>
    </row>
    <row r="380" ht="68" customHeight="1" s="486">
      <c r="A380" s="151" t="inlineStr">
        <is>
          <t>Error Message</t>
        </is>
      </c>
      <c r="B380" s="152" t="inlineStr">
        <is>
          <t>All the digits in the Payment Registration Number cannot be '0'. Please enter Payment Registration Number in proper format.</t>
        </is>
      </c>
      <c r="C380" s="151" t="inlineStr">
        <is>
          <t>Date of Deposit should be on or before current Date.</t>
        </is>
      </c>
      <c r="D380" s="152" t="inlineStr">
        <is>
          <t>Please enter numeric value greater than zero.</t>
        </is>
      </c>
    </row>
    <row r="381">
      <c r="A381" s="151" t="n"/>
      <c r="B381" s="152" t="n"/>
      <c r="D381" s="152" t="n"/>
    </row>
    <row r="382" ht="17" customHeight="1" s="486">
      <c r="A382" s="149" t="inlineStr">
        <is>
          <t>Q_IT_Payment_Credits</t>
        </is>
      </c>
      <c r="B382" s="153" t="inlineStr">
        <is>
          <t>Payment Registration Number</t>
        </is>
      </c>
      <c r="C382" s="153" t="inlineStr">
        <is>
          <t>Date of Deposit</t>
        </is>
      </c>
      <c r="D382" s="153" t="inlineStr">
        <is>
          <t>Amount of Income Tax Paid (Ksh)</t>
        </is>
      </c>
      <c r="R382" s="151" t="inlineStr">
        <is>
          <t>Section Q2 : Self Assessment Tax (Wife)</t>
        </is>
      </c>
    </row>
    <row r="383" ht="17" customHeight="1" s="486">
      <c r="A383" s="151" t="inlineStr">
        <is>
          <t>Mandatory</t>
        </is>
      </c>
      <c r="B383" s="151" t="inlineStr">
        <is>
          <t>Y</t>
        </is>
      </c>
      <c r="C383" s="151" t="inlineStr">
        <is>
          <t>Y</t>
        </is>
      </c>
      <c r="D383" s="151" t="inlineStr">
        <is>
          <t>Y</t>
        </is>
      </c>
    </row>
    <row r="384" ht="34" customHeight="1" s="486">
      <c r="A384" s="151" t="inlineStr">
        <is>
          <t>Validation Rule1</t>
        </is>
      </c>
      <c r="B384" s="151" t="inlineStr">
        <is>
          <t>isMandatory(DtlIncomePaid.IncomePaidSelfAssmntListW,B383,"A")</t>
        </is>
      </c>
      <c r="C384" s="151" t="inlineStr">
        <is>
          <t>isMandatory(DtlIncomePaid.IncomePaidSelfAssmntListW,C383,"B")</t>
        </is>
      </c>
      <c r="D384" s="151" t="inlineStr">
        <is>
          <t>isMandatory(DtlIncomePaid.IncomePaidSelfAssmntListW,D383,"C")</t>
        </is>
      </c>
    </row>
    <row r="385" ht="34" customHeight="1" s="486">
      <c r="A385" s="151" t="inlineStr">
        <is>
          <t>Error Message</t>
        </is>
      </c>
      <c r="B385" s="151">
        <f>CONCATENATE(B382,ErrMsg.Mandatory)</f>
        <v/>
      </c>
      <c r="C385" s="151">
        <f>CONCATENATE(C382,ErrMsg.Mandatory)</f>
        <v/>
      </c>
      <c r="D385" s="151">
        <f>CONCATENATE(D382,ErrMsg.Mandatory)</f>
        <v/>
      </c>
    </row>
    <row r="386" ht="51" customHeight="1" s="486">
      <c r="A386" s="151" t="inlineStr">
        <is>
          <t>Validation Rule2</t>
        </is>
      </c>
      <c r="B386" s="152" t="inlineStr">
        <is>
          <t>validatePRNNumeric(DtlIncomePaid.IncomePaidSelfAssmntListW,"A")</t>
        </is>
      </c>
      <c r="C386" s="152" t="inlineStr">
        <is>
          <t>validateDate(DtlIncomePaid.IncomePaidSelfAssmntListW,"B")</t>
        </is>
      </c>
      <c r="D386" s="151" t="inlineStr">
        <is>
          <t>validateCurrencyFormat(DtlIncomePaid.IncomePaidSelfAssmntListW,"C")</t>
        </is>
      </c>
    </row>
    <row r="387" ht="34" customHeight="1" s="486">
      <c r="A387" s="151" t="inlineStr">
        <is>
          <t>Error Message</t>
        </is>
      </c>
      <c r="B387" s="152" t="inlineStr">
        <is>
          <t>Please enter numeric value.Only Special characters like (-) is allowed.</t>
        </is>
      </c>
      <c r="C387" s="152" t="inlineStr">
        <is>
          <t>Please enter date in proper format</t>
        </is>
      </c>
      <c r="D387" s="152">
        <f>ErrMsg.NumericVal</f>
        <v/>
      </c>
    </row>
    <row r="388" ht="51" customHeight="1" s="486">
      <c r="A388" s="151" t="inlineStr">
        <is>
          <t>Validation Rule3</t>
        </is>
      </c>
      <c r="B388" s="152" t="inlineStr">
        <is>
          <t>validatePRNAllzero(DtlIncomePaid.IncomePaidSelfAssmntListW,"A")</t>
        </is>
      </c>
      <c r="C388" s="151" t="inlineStr">
        <is>
          <t>validateDateBtnRtnPeriodSysDate(DtlIncomePaid.IncomePaidSelfAssmntListW,"B")</t>
        </is>
      </c>
      <c r="D388" s="152" t="inlineStr">
        <is>
          <t>validatePrnAmount(DtlIncomePaid.IncomePaidSelfAssmntListW,"C")</t>
        </is>
      </c>
    </row>
    <row r="389" ht="68" customHeight="1" s="486">
      <c r="A389" s="151" t="inlineStr">
        <is>
          <t>Error Message</t>
        </is>
      </c>
      <c r="B389" s="152" t="inlineStr">
        <is>
          <t>All the digits in the Payment Registration Number cannot be '0'. Please enter Payment Registration Number in proper format.</t>
        </is>
      </c>
      <c r="C389" s="151" t="inlineStr">
        <is>
          <t>Date of Deposit should be between after Return Reriod and current Date.</t>
        </is>
      </c>
      <c r="D389" s="152" t="inlineStr">
        <is>
          <t>Please enter numeric value greater than zero.</t>
        </is>
      </c>
    </row>
    <row r="390">
      <c r="A390" s="151" t="n"/>
      <c r="B390" s="152" t="n"/>
      <c r="D390" s="152" t="n"/>
    </row>
    <row r="391" ht="34" customHeight="1" s="486">
      <c r="A391" s="149" t="inlineStr">
        <is>
          <t>R_DTAA_Credits</t>
        </is>
      </c>
      <c r="B391" s="153" t="inlineStr">
        <is>
          <t>Country</t>
        </is>
      </c>
      <c r="C391" s="153" t="inlineStr">
        <is>
          <t>Document Reference Number</t>
        </is>
      </c>
      <c r="D391" s="153" t="inlineStr">
        <is>
          <t>Date of Deduction</t>
        </is>
      </c>
      <c r="E391" s="149" t="inlineStr">
        <is>
          <t>Amount of Tax Relief</t>
        </is>
      </c>
      <c r="R391" s="151" t="inlineStr">
        <is>
          <t>Section R : Details of Double Taxation Avoidance Agreement (Self)</t>
        </is>
      </c>
    </row>
    <row r="392" ht="17" customHeight="1" s="486">
      <c r="A392" s="151" t="inlineStr">
        <is>
          <t>Mandatory</t>
        </is>
      </c>
      <c r="B392" s="151" t="inlineStr">
        <is>
          <t>Y</t>
        </is>
      </c>
      <c r="C392" s="151" t="inlineStr">
        <is>
          <t>Y</t>
        </is>
      </c>
      <c r="D392" s="151" t="inlineStr">
        <is>
          <t>Y</t>
        </is>
      </c>
      <c r="E392" s="151" t="inlineStr">
        <is>
          <t>Y</t>
        </is>
      </c>
    </row>
    <row r="393" ht="34" customHeight="1" s="486">
      <c r="A393" s="151" t="inlineStr">
        <is>
          <t>Validation Rule1</t>
        </is>
      </c>
      <c r="B393" s="151" t="inlineStr">
        <is>
          <t>isMandatory(DTAACredits.DetailsS,B392,"A")</t>
        </is>
      </c>
      <c r="C393" s="151" t="inlineStr">
        <is>
          <t>isMandatory(DTAACredits.DetailsS,C392,"B")</t>
        </is>
      </c>
      <c r="D393" s="151" t="inlineStr">
        <is>
          <t>isMandatory(DTAACredits.DetailsS,D392,"C")</t>
        </is>
      </c>
      <c r="E393" s="151" t="inlineStr">
        <is>
          <t>isMandatory(DTAACredits.DetailsS,E392,"D")</t>
        </is>
      </c>
    </row>
    <row r="394" ht="34" customHeight="1" s="486">
      <c r="A394" s="151" t="inlineStr">
        <is>
          <t>Error Message</t>
        </is>
      </c>
      <c r="B394" s="151">
        <f>CONCATENATE(B391,ErrMsg.Mandatory)</f>
        <v/>
      </c>
      <c r="C394" s="151">
        <f>CONCATENATE(C391,ErrMsg.Mandatory)</f>
        <v/>
      </c>
      <c r="D394" s="151">
        <f>CONCATENATE(D391,ErrMsg.Mandatory)</f>
        <v/>
      </c>
      <c r="E394" s="151">
        <f>CONCATENATE(E391,ErrMsg.Mandatory)</f>
        <v/>
      </c>
    </row>
    <row r="395" ht="34" customHeight="1" s="486">
      <c r="A395" s="151" t="inlineStr">
        <is>
          <t>Validation Rule2</t>
        </is>
      </c>
      <c r="B395" s="152" t="inlineStr">
        <is>
          <t>validateAlphaNumeric(DTAACredits.DetailsS,"A")</t>
        </is>
      </c>
      <c r="C395" s="152" t="inlineStr">
        <is>
          <t>validateAlphaNumericSpaceOnly(DTAACredits.DetailsS,"B")</t>
        </is>
      </c>
      <c r="D395" s="151" t="inlineStr">
        <is>
          <t>validateDate(DTAACredits.DetailsS,"C")</t>
        </is>
      </c>
      <c r="E395" s="151" t="inlineStr">
        <is>
          <t>validateCurrencyFormat(DTAACredits.DetailsS,"D")</t>
        </is>
      </c>
    </row>
    <row r="396" ht="51" customHeight="1" s="486">
      <c r="A396" s="151" t="inlineStr">
        <is>
          <t>Error Message</t>
        </is>
      </c>
      <c r="B396" s="152">
        <f>ErrMsg.alphanumeric</f>
        <v/>
      </c>
      <c r="C396" s="152" t="inlineStr">
        <is>
          <t>Please enter alphanumeric value.Only Special Character Space allowed.</t>
        </is>
      </c>
      <c r="D396" s="152" t="inlineStr">
        <is>
          <t>Please enter date in proper format</t>
        </is>
      </c>
      <c r="E396" s="151">
        <f>ErrMsg.NumericVal</f>
        <v/>
      </c>
    </row>
    <row r="397" ht="34" customHeight="1" s="486">
      <c r="A397" s="151" t="inlineStr">
        <is>
          <t>Validation Rule3</t>
        </is>
      </c>
      <c r="B397" s="152" t="n"/>
      <c r="D397" s="152" t="inlineStr">
        <is>
          <t>validateDateBeforeRtnPeriodEnd(DTAACredits.DetailsS,"C")</t>
        </is>
      </c>
    </row>
    <row r="398" ht="34" customHeight="1" s="486">
      <c r="A398" s="151" t="inlineStr">
        <is>
          <t>Error Message</t>
        </is>
      </c>
      <c r="B398" s="152" t="n"/>
      <c r="D398" s="152" t="inlineStr">
        <is>
          <t>Date of Deduction should be before or within Return Reriod.</t>
        </is>
      </c>
    </row>
    <row r="399">
      <c r="A399" s="151" t="n"/>
      <c r="B399" s="152" t="n"/>
      <c r="D399" s="152" t="n"/>
    </row>
    <row r="400" ht="34" customHeight="1" s="486">
      <c r="A400" s="149" t="inlineStr">
        <is>
          <t>R_DTAA_Credits</t>
        </is>
      </c>
      <c r="B400" s="153" t="inlineStr">
        <is>
          <t>Country</t>
        </is>
      </c>
      <c r="C400" s="153" t="inlineStr">
        <is>
          <t>Document Reference Number</t>
        </is>
      </c>
      <c r="D400" s="153" t="inlineStr">
        <is>
          <t>Date of Deduction</t>
        </is>
      </c>
      <c r="E400" s="149" t="inlineStr">
        <is>
          <t>Amount of Tax Relief</t>
        </is>
      </c>
      <c r="R400" s="151" t="inlineStr">
        <is>
          <t>Section R : Details of Double Taxation Avoidance Agreement (Wife)</t>
        </is>
      </c>
    </row>
    <row r="401" ht="17" customHeight="1" s="486">
      <c r="A401" s="151" t="inlineStr">
        <is>
          <t>Mandatory</t>
        </is>
      </c>
      <c r="B401" s="151" t="inlineStr">
        <is>
          <t>Y</t>
        </is>
      </c>
      <c r="C401" s="151" t="inlineStr">
        <is>
          <t>Y</t>
        </is>
      </c>
      <c r="D401" s="151" t="inlineStr">
        <is>
          <t>Y</t>
        </is>
      </c>
      <c r="E401" s="151" t="inlineStr">
        <is>
          <t>Y</t>
        </is>
      </c>
    </row>
    <row r="402" ht="51" customHeight="1" s="486">
      <c r="A402" s="151" t="inlineStr">
        <is>
          <t>Validation Rule1</t>
        </is>
      </c>
      <c r="B402" s="151" t="inlineStr">
        <is>
          <t>IF(RetInf.DeclareWifeIncome="Yes",isMandatory(DTAACredits.DetailsW,B401,"A"),"NE")</t>
        </is>
      </c>
      <c r="C402" s="151" t="inlineStr">
        <is>
          <t>IF(RetInf.DeclareWifeIncome="Yes",isMandatory(DTAACredits.DetailsW,C401,"B"),"NE")</t>
        </is>
      </c>
      <c r="D402" s="151" t="inlineStr">
        <is>
          <t>IF(RetInf.DeclareWifeIncome="Yes",isMandatory(DTAACredits.DetailsW,D401,"C"),"NE")</t>
        </is>
      </c>
      <c r="E402" s="151" t="inlineStr">
        <is>
          <t>IF(RetInf.DeclareWifeIncome="Yes",isMandatory(DTAACredits.DetailsW,E401,"D"),"NE")</t>
        </is>
      </c>
    </row>
    <row r="403" ht="34" customHeight="1" s="486">
      <c r="A403" s="151" t="inlineStr">
        <is>
          <t>Error Message</t>
        </is>
      </c>
      <c r="B403" s="151">
        <f>CONCATENATE(B400,ErrMsg.Mandatory)</f>
        <v/>
      </c>
      <c r="C403" s="151">
        <f>CONCATENATE(C400,ErrMsg.Mandatory)</f>
        <v/>
      </c>
      <c r="D403" s="151">
        <f>CONCATENATE(D400,ErrMsg.Mandatory)</f>
        <v/>
      </c>
      <c r="E403" s="151">
        <f>CONCATENATE(E400,ErrMsg.Mandatory)</f>
        <v/>
      </c>
    </row>
    <row r="404" ht="51" customHeight="1" s="486">
      <c r="A404" s="151" t="inlineStr">
        <is>
          <t>Validation Rule2</t>
        </is>
      </c>
      <c r="B404" s="152" t="inlineStr">
        <is>
          <t>IF(RetInf.DeclareWifeIncome="Yes",validateAlphaNumeric(DTAACredits.DetailsW,"A"),"NE")</t>
        </is>
      </c>
      <c r="C404" s="152" t="inlineStr">
        <is>
          <t>IF(RetInf.DeclareWifeIncome="Yes",validateAlphaNumericSpaceOnly(DTAACredits.DetailsW,"B"),"NE")</t>
        </is>
      </c>
      <c r="D404" s="151" t="inlineStr">
        <is>
          <t>IF(RetInf.DeclareWifeIncome="Yes",validateDate(DTAACredits.DetailsW,"C"),"NE")</t>
        </is>
      </c>
      <c r="E404" s="151" t="inlineStr">
        <is>
          <t>IF(RetInf.DeclareWifeIncome="Yes",validateCurrencyFormat(DTAACredits.DetailsW,"D"),"NE")</t>
        </is>
      </c>
    </row>
    <row r="405" ht="51" customHeight="1" s="486">
      <c r="A405" s="151" t="inlineStr">
        <is>
          <t>Error Message</t>
        </is>
      </c>
      <c r="B405" s="152">
        <f>ErrMsg.alphanumeric</f>
        <v/>
      </c>
      <c r="C405" s="152" t="inlineStr">
        <is>
          <t>Please enter alphanumeric value.Only Special Character Space allowed.</t>
        </is>
      </c>
      <c r="D405" s="152" t="inlineStr">
        <is>
          <t>Please enter date in proper format</t>
        </is>
      </c>
      <c r="E405" s="151">
        <f>ErrMsg.NumericVal</f>
        <v/>
      </c>
    </row>
    <row r="406" ht="51" customHeight="1" s="486">
      <c r="A406" s="151" t="inlineStr">
        <is>
          <t>Validation Rule3</t>
        </is>
      </c>
      <c r="B406" s="152" t="n"/>
      <c r="D406" s="152" t="inlineStr">
        <is>
          <t>IF(RetInf.DeclareWifeIncome="Yes",validateDateBeforeRtnPeriodEnd(DTAACredits.DetailsW,"C"),"NE")</t>
        </is>
      </c>
    </row>
    <row r="407" ht="34" customHeight="1" s="486">
      <c r="A407" s="151" t="inlineStr">
        <is>
          <t>Error Message</t>
        </is>
      </c>
      <c r="B407" s="152" t="n"/>
      <c r="D407" s="152" t="inlineStr">
        <is>
          <t>Date of Deduction should be before or within Return Reriod.</t>
        </is>
      </c>
    </row>
    <row r="408">
      <c r="A408" s="151" t="n"/>
      <c r="B408" s="152" t="n"/>
      <c r="D408" s="152" t="n"/>
    </row>
    <row r="409" ht="17" customFormat="1" customHeight="1" s="150">
      <c r="A409" s="149" t="inlineStr">
        <is>
          <t>T_Income_Computation_Self</t>
        </is>
      </c>
      <c r="B409" s="149" t="inlineStr">
        <is>
          <t>Name of Expense</t>
        </is>
      </c>
      <c r="C409" s="149" t="inlineStr">
        <is>
          <t>Business</t>
        </is>
      </c>
      <c r="D409" s="149" t="inlineStr">
        <is>
          <t>Farming</t>
        </is>
      </c>
      <c r="E409" s="149" t="inlineStr">
        <is>
          <t>Rental</t>
        </is>
      </c>
      <c r="F409" s="149" t="inlineStr">
        <is>
          <t>Interest</t>
        </is>
      </c>
      <c r="G409" s="149" t="inlineStr">
        <is>
          <t>Commission</t>
        </is>
      </c>
      <c r="H409" s="149" t="inlineStr">
        <is>
          <t>Other</t>
        </is>
      </c>
      <c r="I409" s="149" t="n"/>
      <c r="J409" s="149" t="n"/>
      <c r="K409" s="149" t="n"/>
      <c r="L409" s="149" t="n"/>
      <c r="M409" s="149" t="n"/>
      <c r="N409" s="149" t="n"/>
      <c r="O409" s="149" t="n"/>
      <c r="P409" s="149" t="n"/>
      <c r="Q409" s="149" t="n"/>
      <c r="R409" s="149" t="inlineStr">
        <is>
          <t>Section T : Tax Computation (Self)</t>
        </is>
      </c>
    </row>
    <row r="410" ht="17" customHeight="1" s="486">
      <c r="A410" s="151" t="inlineStr">
        <is>
          <t>Mandatory</t>
        </is>
      </c>
      <c r="B410" s="151" t="inlineStr">
        <is>
          <t>Y</t>
        </is>
      </c>
      <c r="C410" s="151" t="inlineStr">
        <is>
          <t>Y</t>
        </is>
      </c>
      <c r="D410" s="151" t="inlineStr">
        <is>
          <t>Y</t>
        </is>
      </c>
      <c r="E410" s="151" t="inlineStr">
        <is>
          <t>Y</t>
        </is>
      </c>
      <c r="F410" s="151" t="inlineStr">
        <is>
          <t>Y</t>
        </is>
      </c>
      <c r="G410" s="151" t="inlineStr">
        <is>
          <t>Y</t>
        </is>
      </c>
      <c r="H410" s="151" t="inlineStr">
        <is>
          <t>Y</t>
        </is>
      </c>
    </row>
    <row r="411" ht="34" customHeight="1" s="486">
      <c r="A411" s="151" t="inlineStr">
        <is>
          <t>Validation Rule1</t>
        </is>
      </c>
      <c r="B411" s="151" t="inlineStr">
        <is>
          <t>isMandatory(TaxComp.OthExpListS,B410,"B")</t>
        </is>
      </c>
      <c r="C411" s="151" t="inlineStr">
        <is>
          <t>isMandatory(TaxComp.OthExpListS,C410,"C")</t>
        </is>
      </c>
      <c r="D411" s="151" t="inlineStr">
        <is>
          <t>isMandatory(TaxComp.OthExpListS,D410,"D")</t>
        </is>
      </c>
      <c r="E411" s="151" t="inlineStr">
        <is>
          <t>isMandatory(TaxComp.OthExpListS,E410,"E")</t>
        </is>
      </c>
      <c r="F411" s="151" t="inlineStr">
        <is>
          <t>isMandatory(TaxComp.OthExpListS,F410,"F")</t>
        </is>
      </c>
      <c r="G411" s="151" t="inlineStr">
        <is>
          <t>isMandatory(TaxComp.OthExpListS,G410,"G")</t>
        </is>
      </c>
      <c r="H411" s="151" t="inlineStr">
        <is>
          <t>isMandatory(TaxComp.OthExpListS,H410,"H")</t>
        </is>
      </c>
    </row>
    <row r="412" ht="34" customHeight="1" s="486">
      <c r="A412" s="151" t="inlineStr">
        <is>
          <t>Error Message</t>
        </is>
      </c>
      <c r="B412" s="151">
        <f>CONCATENATE(B409,ErrMsg.Mandatory)</f>
        <v/>
      </c>
      <c r="C412" s="151">
        <f>CONCATENATE(C409,ErrMsg.Mandatory)</f>
        <v/>
      </c>
      <c r="D412" s="151">
        <f>CONCATENATE(D409,ErrMsg.Mandatory)</f>
        <v/>
      </c>
      <c r="E412" s="151">
        <f>CONCATENATE(E409,ErrMsg.Mandatory)</f>
        <v/>
      </c>
      <c r="F412" s="151">
        <f>CONCATENATE(F409,ErrMsg.Mandatory)</f>
        <v/>
      </c>
      <c r="G412" s="151">
        <f>CONCATENATE(G409,ErrMsg.Mandatory)</f>
        <v/>
      </c>
      <c r="H412" s="151">
        <f>CONCATENATE(H409,ErrMsg.Mandatory)</f>
        <v/>
      </c>
    </row>
    <row r="413" ht="34" customHeight="1" s="486">
      <c r="A413" s="151" t="inlineStr">
        <is>
          <t>Validation Rule2</t>
        </is>
      </c>
      <c r="B413" s="151" t="inlineStr">
        <is>
          <t>validateAlphaNumeric(TaxComp.OthExpListS,"B")</t>
        </is>
      </c>
      <c r="C413" s="151" t="inlineStr">
        <is>
          <t>validateCurrencyFormat(TaxComp.OthExpListS,"C")</t>
        </is>
      </c>
      <c r="D413" s="151" t="inlineStr">
        <is>
          <t>validateCurrencyFormat(TaxComp.OthExpListS,"D")</t>
        </is>
      </c>
      <c r="E413" s="151" t="inlineStr">
        <is>
          <t>validateCurrencyFormat(TaxComp.OthExpListS,"E")</t>
        </is>
      </c>
      <c r="F413" s="151" t="inlineStr">
        <is>
          <t>validateCurrencyFormat(TaxComp.OthExpListS,"F")</t>
        </is>
      </c>
      <c r="G413" s="151" t="inlineStr">
        <is>
          <t>validateCurrencyFormat(TaxComp.OthExpListS,"G")</t>
        </is>
      </c>
      <c r="H413" s="151" t="inlineStr">
        <is>
          <t>validateCurrencyFormat(TaxComp.OthExpListS,"H")</t>
        </is>
      </c>
    </row>
    <row r="414" ht="51" customHeight="1" s="486">
      <c r="A414" s="151" t="inlineStr">
        <is>
          <t>Error Message</t>
        </is>
      </c>
      <c r="B414" s="152">
        <f>ErrMsg.alphanumeric</f>
        <v/>
      </c>
      <c r="C414" s="152">
        <f>ErrMsg.NumericVal</f>
        <v/>
      </c>
      <c r="D414" s="152">
        <f>ErrMsg.NumericVal</f>
        <v/>
      </c>
      <c r="E414" s="152">
        <f>ErrMsg.NumericVal</f>
        <v/>
      </c>
      <c r="F414" s="152">
        <f>ErrMsg.NumericVal</f>
        <v/>
      </c>
      <c r="G414" s="152">
        <f>ErrMsg.NumericVal</f>
        <v/>
      </c>
      <c r="H414" s="152">
        <f>ErrMsg.NumericVal</f>
        <v/>
      </c>
    </row>
    <row r="416" ht="17" customFormat="1" customHeight="1" s="150">
      <c r="A416" s="149" t="inlineStr">
        <is>
          <t>T_Income_Computation_Self</t>
        </is>
      </c>
      <c r="B416" s="149" t="inlineStr">
        <is>
          <t>Name of Deductions</t>
        </is>
      </c>
      <c r="C416" s="149" t="inlineStr">
        <is>
          <t>Business</t>
        </is>
      </c>
      <c r="D416" s="149" t="inlineStr">
        <is>
          <t>Farming</t>
        </is>
      </c>
      <c r="E416" s="149" t="inlineStr">
        <is>
          <t>Rental</t>
        </is>
      </c>
      <c r="F416" s="149" t="inlineStr">
        <is>
          <t>Interest</t>
        </is>
      </c>
      <c r="G416" s="149" t="inlineStr">
        <is>
          <t>Commission</t>
        </is>
      </c>
      <c r="H416" s="149" t="inlineStr">
        <is>
          <t>Other</t>
        </is>
      </c>
      <c r="I416" s="149" t="n"/>
      <c r="J416" s="149" t="n"/>
      <c r="K416" s="149" t="n"/>
      <c r="L416" s="149" t="n"/>
      <c r="M416" s="149" t="n"/>
      <c r="N416" s="149" t="n"/>
      <c r="O416" s="149" t="n"/>
      <c r="P416" s="149" t="n"/>
      <c r="Q416" s="149" t="n"/>
      <c r="R416" s="149" t="inlineStr">
        <is>
          <t>Section T : Tax Computation (Self)</t>
        </is>
      </c>
    </row>
    <row r="417" ht="17" customHeight="1" s="486">
      <c r="A417" s="151" t="inlineStr">
        <is>
          <t>Mandatory</t>
        </is>
      </c>
      <c r="B417" s="151" t="inlineStr">
        <is>
          <t>Y</t>
        </is>
      </c>
      <c r="C417" s="151" t="inlineStr">
        <is>
          <t>Y</t>
        </is>
      </c>
      <c r="D417" s="151" t="inlineStr">
        <is>
          <t>Y</t>
        </is>
      </c>
      <c r="E417" s="151" t="inlineStr">
        <is>
          <t>Y</t>
        </is>
      </c>
      <c r="F417" s="151" t="inlineStr">
        <is>
          <t>Y</t>
        </is>
      </c>
      <c r="G417" s="151" t="inlineStr">
        <is>
          <t>Y</t>
        </is>
      </c>
      <c r="H417" s="151" t="inlineStr">
        <is>
          <t>Y</t>
        </is>
      </c>
    </row>
    <row r="418" ht="34" customHeight="1" s="486">
      <c r="A418" s="151" t="inlineStr">
        <is>
          <t>Validation Rule1</t>
        </is>
      </c>
      <c r="B418" s="151" t="inlineStr">
        <is>
          <t>isMandatory(TaxComp.OthDedListS,B417,"B")</t>
        </is>
      </c>
      <c r="C418" s="151" t="inlineStr">
        <is>
          <t>isMandatory(TaxComp.OthDedListS,C417,"C")</t>
        </is>
      </c>
      <c r="D418" s="151" t="inlineStr">
        <is>
          <t>isMandatory(TaxComp.OthDedListS,D417,"D")</t>
        </is>
      </c>
      <c r="E418" s="151" t="inlineStr">
        <is>
          <t>isMandatory(TaxComp.OthDedListS,E417,"E")</t>
        </is>
      </c>
      <c r="F418" s="151" t="inlineStr">
        <is>
          <t>isMandatory(TaxComp.OthDedListS,F417,"F")</t>
        </is>
      </c>
      <c r="G418" s="151" t="inlineStr">
        <is>
          <t>isMandatory(TaxComp.OthDedListS,G417,"G")</t>
        </is>
      </c>
      <c r="H418" s="151" t="inlineStr">
        <is>
          <t>isMandatory(TaxComp.OthDedListS,H417,"H")</t>
        </is>
      </c>
    </row>
    <row r="419" ht="34" customHeight="1" s="486">
      <c r="A419" s="151" t="inlineStr">
        <is>
          <t>Error Message</t>
        </is>
      </c>
      <c r="B419" s="151">
        <f>CONCATENATE(B416,ErrMsg.Mandatory)</f>
        <v/>
      </c>
      <c r="C419" s="151">
        <f>CONCATENATE(C416,ErrMsg.Mandatory)</f>
        <v/>
      </c>
      <c r="D419" s="151">
        <f>CONCATENATE(D416,ErrMsg.Mandatory)</f>
        <v/>
      </c>
      <c r="E419" s="151">
        <f>CONCATENATE(E416,ErrMsg.Mandatory)</f>
        <v/>
      </c>
      <c r="F419" s="151">
        <f>CONCATENATE(F416,ErrMsg.Mandatory)</f>
        <v/>
      </c>
      <c r="G419" s="151">
        <f>CONCATENATE(G416,ErrMsg.Mandatory)</f>
        <v/>
      </c>
      <c r="H419" s="151">
        <f>CONCATENATE(H416,ErrMsg.Mandatory)</f>
        <v/>
      </c>
    </row>
    <row r="420" ht="34" customHeight="1" s="486">
      <c r="A420" s="151" t="inlineStr">
        <is>
          <t>Validation Rule2</t>
        </is>
      </c>
      <c r="B420" s="151" t="inlineStr">
        <is>
          <t>validateAlphaNumeric(TaxComp.OthDedListS,"B")</t>
        </is>
      </c>
      <c r="C420" s="151" t="inlineStr">
        <is>
          <t>validateCurrencyFormat(TaxComp.OthDedListS,"C")</t>
        </is>
      </c>
      <c r="D420" s="151" t="inlineStr">
        <is>
          <t>validateCurrencyFormat(TaxComp.OthDedListS,"D")</t>
        </is>
      </c>
      <c r="E420" s="151" t="inlineStr">
        <is>
          <t>validateCurrencyFormat(TaxComp.OthDedListS,"E")</t>
        </is>
      </c>
      <c r="F420" s="151" t="inlineStr">
        <is>
          <t>validateCurrencyFormat(TaxComp.OthDedListS,"F")</t>
        </is>
      </c>
      <c r="G420" s="151" t="inlineStr">
        <is>
          <t>validateCurrencyFormat(TaxComp.OthDedListS,"G")</t>
        </is>
      </c>
      <c r="H420" s="151" t="inlineStr">
        <is>
          <t>validateCurrencyFormat(TaxComp.OthDedListS,"H")</t>
        </is>
      </c>
    </row>
    <row r="421" ht="51" customHeight="1" s="486">
      <c r="A421" s="151" t="inlineStr">
        <is>
          <t>Error Message</t>
        </is>
      </c>
      <c r="B421" s="152">
        <f>ErrMsg.alphanumeric</f>
        <v/>
      </c>
      <c r="C421" s="152">
        <f>ErrMsg.NumericVal</f>
        <v/>
      </c>
      <c r="D421" s="152">
        <f>ErrMsg.NumericVal</f>
        <v/>
      </c>
      <c r="E421" s="152">
        <f>ErrMsg.NumericVal</f>
        <v/>
      </c>
      <c r="F421" s="152">
        <f>ErrMsg.NumericVal</f>
        <v/>
      </c>
      <c r="G421" s="152">
        <f>ErrMsg.NumericVal</f>
        <v/>
      </c>
      <c r="H421" s="152">
        <f>ErrMsg.NumericVal</f>
        <v/>
      </c>
    </row>
    <row r="423" ht="17" customFormat="1" customHeight="1" s="150">
      <c r="A423" s="149" t="inlineStr">
        <is>
          <t>T_Income_Computation_Wife</t>
        </is>
      </c>
      <c r="B423" s="149" t="inlineStr">
        <is>
          <t>Name of Expense</t>
        </is>
      </c>
      <c r="C423" s="149" t="inlineStr">
        <is>
          <t>Business</t>
        </is>
      </c>
      <c r="D423" s="149" t="inlineStr">
        <is>
          <t>Farming</t>
        </is>
      </c>
      <c r="E423" s="149" t="inlineStr">
        <is>
          <t>Rental</t>
        </is>
      </c>
      <c r="F423" s="149" t="inlineStr">
        <is>
          <t>Interest</t>
        </is>
      </c>
      <c r="G423" s="149" t="inlineStr">
        <is>
          <t>Commission</t>
        </is>
      </c>
      <c r="H423" s="149" t="inlineStr">
        <is>
          <t>Other</t>
        </is>
      </c>
      <c r="I423" s="149" t="n"/>
      <c r="J423" s="149" t="n"/>
      <c r="K423" s="149" t="n"/>
      <c r="L423" s="149" t="n"/>
      <c r="M423" s="149" t="n"/>
      <c r="N423" s="149" t="n"/>
      <c r="O423" s="149" t="n"/>
      <c r="P423" s="149" t="n"/>
      <c r="Q423" s="149" t="n"/>
      <c r="R423" s="149" t="inlineStr">
        <is>
          <t>Section T : Tax Computation (Wife)</t>
        </is>
      </c>
    </row>
    <row r="424" ht="17" customHeight="1" s="486">
      <c r="A424" s="151" t="inlineStr">
        <is>
          <t>Mandatory</t>
        </is>
      </c>
      <c r="B424" s="151" t="inlineStr">
        <is>
          <t>Y</t>
        </is>
      </c>
      <c r="C424" s="151" t="inlineStr">
        <is>
          <t>Y</t>
        </is>
      </c>
      <c r="D424" s="151" t="inlineStr">
        <is>
          <t>Y</t>
        </is>
      </c>
      <c r="E424" s="151" t="inlineStr">
        <is>
          <t>Y</t>
        </is>
      </c>
      <c r="F424" s="151" t="inlineStr">
        <is>
          <t>Y</t>
        </is>
      </c>
      <c r="G424" s="151" t="inlineStr">
        <is>
          <t>Y</t>
        </is>
      </c>
      <c r="H424" s="151" t="inlineStr">
        <is>
          <t>Y</t>
        </is>
      </c>
    </row>
    <row r="425" ht="34" customHeight="1" s="486">
      <c r="A425" s="151" t="inlineStr">
        <is>
          <t>Validation Rule1</t>
        </is>
      </c>
      <c r="B425" s="151" t="inlineStr">
        <is>
          <t>isMandatory(TaxComp.OthExpListW,B424,"B")</t>
        </is>
      </c>
      <c r="C425" s="151" t="inlineStr">
        <is>
          <t>isMandatory(TaxComp.OthExpListW,C424,"C")</t>
        </is>
      </c>
      <c r="D425" s="151" t="inlineStr">
        <is>
          <t>isMandatory(TaxComp.OthExpListW,D424,"D")</t>
        </is>
      </c>
      <c r="E425" s="151" t="inlineStr">
        <is>
          <t>isMandatory(TaxComp.OthExpListW,E424,"E")</t>
        </is>
      </c>
      <c r="F425" s="151" t="inlineStr">
        <is>
          <t>isMandatory(TaxComp.OthExpListW,F424,"F")</t>
        </is>
      </c>
      <c r="G425" s="151" t="inlineStr">
        <is>
          <t>isMandatory(TaxComp.OthExpListW,G424,"G")</t>
        </is>
      </c>
      <c r="H425" s="151" t="inlineStr">
        <is>
          <t>isMandatory(TaxComp.OthExpListW,H424,"H")</t>
        </is>
      </c>
    </row>
    <row r="426" ht="34" customHeight="1" s="486">
      <c r="A426" s="151" t="inlineStr">
        <is>
          <t>Error Message</t>
        </is>
      </c>
      <c r="B426" s="151">
        <f>CONCATENATE(B423,ErrMsg.Mandatory)</f>
        <v/>
      </c>
      <c r="C426" s="151">
        <f>CONCATENATE(C423,ErrMsg.Mandatory)</f>
        <v/>
      </c>
      <c r="D426" s="151">
        <f>CONCATENATE(D423,ErrMsg.Mandatory)</f>
        <v/>
      </c>
      <c r="E426" s="151">
        <f>CONCATENATE(E423,ErrMsg.Mandatory)</f>
        <v/>
      </c>
      <c r="F426" s="151">
        <f>CONCATENATE(F423,ErrMsg.Mandatory)</f>
        <v/>
      </c>
      <c r="G426" s="151">
        <f>CONCATENATE(G423,ErrMsg.Mandatory)</f>
        <v/>
      </c>
      <c r="H426" s="151">
        <f>CONCATENATE(H423,ErrMsg.Mandatory)</f>
        <v/>
      </c>
    </row>
    <row r="427" ht="34" customHeight="1" s="486">
      <c r="A427" s="151" t="inlineStr">
        <is>
          <t>Validation Rule2</t>
        </is>
      </c>
      <c r="B427" s="151" t="inlineStr">
        <is>
          <t>validateAlphaNumeric(TaxComp.OthExpListW,"B")</t>
        </is>
      </c>
      <c r="C427" s="151" t="inlineStr">
        <is>
          <t>validateCurrencyFormat(TaxComp.OthExpListW,"C")</t>
        </is>
      </c>
      <c r="D427" s="151" t="inlineStr">
        <is>
          <t>validateCurrencyFormat(TaxComp.OthExpListW,"D")</t>
        </is>
      </c>
      <c r="E427" s="151" t="inlineStr">
        <is>
          <t>validateCurrencyFormat(TaxComp.OthExpListW,"E")</t>
        </is>
      </c>
      <c r="F427" s="151" t="inlineStr">
        <is>
          <t>validateCurrencyFormat(TaxComp.OthExpListW,"F")</t>
        </is>
      </c>
      <c r="G427" s="151" t="inlineStr">
        <is>
          <t>validateCurrencyFormat(TaxComp.OthExpListW,"G")</t>
        </is>
      </c>
      <c r="H427" s="151" t="inlineStr">
        <is>
          <t>validateCurrencyFormat(TaxComp.OthExpListW,"H")</t>
        </is>
      </c>
    </row>
    <row r="428" ht="51" customHeight="1" s="486">
      <c r="A428" s="151" t="inlineStr">
        <is>
          <t>Error Message</t>
        </is>
      </c>
      <c r="B428" s="152">
        <f>ErrMsg.alphanumeric</f>
        <v/>
      </c>
      <c r="C428" s="152">
        <f>ErrMsg.NumericVal</f>
        <v/>
      </c>
      <c r="D428" s="152">
        <f>ErrMsg.NumericVal</f>
        <v/>
      </c>
      <c r="E428" s="152">
        <f>ErrMsg.NumericVal</f>
        <v/>
      </c>
      <c r="F428" s="152">
        <f>ErrMsg.NumericVal</f>
        <v/>
      </c>
      <c r="G428" s="152">
        <f>ErrMsg.NumericVal</f>
        <v/>
      </c>
      <c r="H428" s="152">
        <f>ErrMsg.NumericVal</f>
        <v/>
      </c>
    </row>
    <row r="430" ht="17" customFormat="1" customHeight="1" s="150">
      <c r="A430" s="149" t="inlineStr">
        <is>
          <t>T_Income_Computation_Wife</t>
        </is>
      </c>
      <c r="B430" s="149" t="inlineStr">
        <is>
          <t>Name of Deductions</t>
        </is>
      </c>
      <c r="C430" s="149" t="inlineStr">
        <is>
          <t>Business</t>
        </is>
      </c>
      <c r="D430" s="149" t="inlineStr">
        <is>
          <t>Farming</t>
        </is>
      </c>
      <c r="E430" s="149" t="inlineStr">
        <is>
          <t>Rental</t>
        </is>
      </c>
      <c r="F430" s="149" t="inlineStr">
        <is>
          <t>Interest</t>
        </is>
      </c>
      <c r="G430" s="149" t="inlineStr">
        <is>
          <t>Commission</t>
        </is>
      </c>
      <c r="H430" s="149" t="inlineStr">
        <is>
          <t>Other</t>
        </is>
      </c>
      <c r="I430" s="149" t="n"/>
      <c r="J430" s="149" t="n"/>
      <c r="K430" s="149" t="n"/>
      <c r="L430" s="149" t="n"/>
      <c r="M430" s="149" t="n"/>
      <c r="N430" s="149" t="n"/>
      <c r="O430" s="149" t="n"/>
      <c r="P430" s="149" t="n"/>
      <c r="Q430" s="149" t="n"/>
      <c r="R430" s="149" t="inlineStr">
        <is>
          <t>Section T : Tax Computation (Wife)</t>
        </is>
      </c>
    </row>
    <row r="431" ht="17" customHeight="1" s="486">
      <c r="A431" s="151" t="inlineStr">
        <is>
          <t>Mandatory</t>
        </is>
      </c>
      <c r="B431" s="151" t="inlineStr">
        <is>
          <t>Y</t>
        </is>
      </c>
      <c r="C431" s="151" t="inlineStr">
        <is>
          <t>Y</t>
        </is>
      </c>
      <c r="D431" s="151" t="inlineStr">
        <is>
          <t>Y</t>
        </is>
      </c>
      <c r="E431" s="151" t="inlineStr">
        <is>
          <t>Y</t>
        </is>
      </c>
      <c r="F431" s="151" t="inlineStr">
        <is>
          <t>Y</t>
        </is>
      </c>
      <c r="G431" s="151" t="inlineStr">
        <is>
          <t>Y</t>
        </is>
      </c>
      <c r="H431" s="151" t="inlineStr">
        <is>
          <t>Y</t>
        </is>
      </c>
    </row>
    <row r="432" ht="34" customHeight="1" s="486">
      <c r="A432" s="151" t="inlineStr">
        <is>
          <t>Validation Rule1</t>
        </is>
      </c>
      <c r="B432" s="151" t="inlineStr">
        <is>
          <t>isMandatory(TaxComp.OthDedListW,B431,"B")</t>
        </is>
      </c>
      <c r="C432" s="151" t="inlineStr">
        <is>
          <t>isMandatory(TaxComp.OthDedListW,C431,"C")</t>
        </is>
      </c>
      <c r="D432" s="151" t="inlineStr">
        <is>
          <t>isMandatory(TaxComp.OthDedListW,D431,"D")</t>
        </is>
      </c>
      <c r="E432" s="151" t="inlineStr">
        <is>
          <t>isMandatory(TaxComp.OthDedListW,E431,"E")</t>
        </is>
      </c>
      <c r="F432" s="151" t="inlineStr">
        <is>
          <t>isMandatory(TaxComp.OthDedListW,F431,"F")</t>
        </is>
      </c>
      <c r="G432" s="151" t="inlineStr">
        <is>
          <t>isMandatory(TaxComp.OthDedListW,G431,"G")</t>
        </is>
      </c>
      <c r="H432" s="151" t="inlineStr">
        <is>
          <t>isMandatory(TaxComp.OthDedListW,H431,"H")</t>
        </is>
      </c>
    </row>
    <row r="433" ht="34" customHeight="1" s="486">
      <c r="A433" s="151" t="inlineStr">
        <is>
          <t>Error Message</t>
        </is>
      </c>
      <c r="B433" s="151">
        <f>CONCATENATE(B430,ErrMsg.Mandatory)</f>
        <v/>
      </c>
      <c r="C433" s="151">
        <f>CONCATENATE(C430,ErrMsg.Mandatory)</f>
        <v/>
      </c>
      <c r="D433" s="151">
        <f>CONCATENATE(D430,ErrMsg.Mandatory)</f>
        <v/>
      </c>
      <c r="E433" s="151">
        <f>CONCATENATE(E430,ErrMsg.Mandatory)</f>
        <v/>
      </c>
      <c r="F433" s="151">
        <f>CONCATENATE(F430,ErrMsg.Mandatory)</f>
        <v/>
      </c>
      <c r="G433" s="151">
        <f>CONCATENATE(G430,ErrMsg.Mandatory)</f>
        <v/>
      </c>
      <c r="H433" s="151">
        <f>CONCATENATE(H430,ErrMsg.Mandatory)</f>
        <v/>
      </c>
    </row>
    <row r="434" ht="34" customHeight="1" s="486">
      <c r="A434" s="151" t="inlineStr">
        <is>
          <t>Validation Rule2</t>
        </is>
      </c>
      <c r="B434" s="151" t="inlineStr">
        <is>
          <t>validateAlphaNumeric(TaxComp.OthDedListW,"B")</t>
        </is>
      </c>
      <c r="C434" s="151" t="inlineStr">
        <is>
          <t>validateCurrencyFormat(TaxComp.OthDedListW,"C")</t>
        </is>
      </c>
      <c r="D434" s="151" t="inlineStr">
        <is>
          <t>validateCurrencyFormat(TaxComp.OthDedListW,"D")</t>
        </is>
      </c>
      <c r="E434" s="151" t="inlineStr">
        <is>
          <t>validateCurrencyFormat(TaxComp.OthDedListW,"E")</t>
        </is>
      </c>
      <c r="F434" s="151" t="inlineStr">
        <is>
          <t>validateCurrencyFormat(TaxComp.OthDedListW,"F")</t>
        </is>
      </c>
      <c r="G434" s="151" t="inlineStr">
        <is>
          <t>validateCurrencyFormat(TaxComp.OthDedListW,"G")</t>
        </is>
      </c>
      <c r="H434" s="151" t="inlineStr">
        <is>
          <t>validateCurrencyFormat(TaxComp.OthDedListW,"H")</t>
        </is>
      </c>
    </row>
    <row r="435" ht="51" customHeight="1" s="486">
      <c r="A435" s="151" t="inlineStr">
        <is>
          <t>Error Message</t>
        </is>
      </c>
      <c r="B435" s="152">
        <f>ErrMsg.alphanumeric</f>
        <v/>
      </c>
      <c r="C435" s="152">
        <f>ErrMsg.NumericVal</f>
        <v/>
      </c>
      <c r="D435" s="152">
        <f>ErrMsg.NumericVal</f>
        <v/>
      </c>
      <c r="E435" s="152">
        <f>ErrMsg.NumericVal</f>
        <v/>
      </c>
      <c r="F435" s="152">
        <f>ErrMsg.NumericVal</f>
        <v/>
      </c>
      <c r="G435" s="152">
        <f>ErrMsg.NumericVal</f>
        <v/>
      </c>
      <c r="H435" s="152">
        <f>ErrMsg.NumericVal</f>
        <v/>
      </c>
    </row>
    <row r="437" ht="34" customHeight="1" s="486">
      <c r="A437" s="149" t="inlineStr">
        <is>
          <t>B_Profit_Loss_Account_Self</t>
        </is>
      </c>
      <c r="B437" s="149" t="inlineStr">
        <is>
          <t>Name of Income</t>
        </is>
      </c>
      <c r="C437" s="149" t="inlineStr">
        <is>
          <t>Business</t>
        </is>
      </c>
      <c r="D437" s="149" t="inlineStr">
        <is>
          <t>Farming</t>
        </is>
      </c>
      <c r="E437" s="149" t="inlineStr">
        <is>
          <t>Rental</t>
        </is>
      </c>
      <c r="F437" s="149" t="inlineStr">
        <is>
          <t>Interest</t>
        </is>
      </c>
      <c r="G437" s="149" t="inlineStr">
        <is>
          <t>Commission</t>
        </is>
      </c>
      <c r="H437" s="149" t="inlineStr">
        <is>
          <t>Other</t>
        </is>
      </c>
      <c r="R437" s="151" t="inlineStr">
        <is>
          <t>Section B : Profit / Surplus and Loss Account (Self)</t>
        </is>
      </c>
    </row>
    <row r="438" ht="17" customHeight="1" s="486">
      <c r="A438" s="151" t="inlineStr">
        <is>
          <t>Mandatory</t>
        </is>
      </c>
      <c r="B438" s="151" t="inlineStr">
        <is>
          <t>Y</t>
        </is>
      </c>
      <c r="C438" s="151" t="inlineStr">
        <is>
          <t>Y</t>
        </is>
      </c>
      <c r="D438" s="151" t="inlineStr">
        <is>
          <t>Y</t>
        </is>
      </c>
      <c r="E438" s="151" t="inlineStr">
        <is>
          <t>Y</t>
        </is>
      </c>
      <c r="F438" s="151" t="inlineStr">
        <is>
          <t>Y</t>
        </is>
      </c>
      <c r="G438" s="151" t="inlineStr">
        <is>
          <t>Y</t>
        </is>
      </c>
      <c r="H438" s="151" t="inlineStr">
        <is>
          <t>Y</t>
        </is>
      </c>
    </row>
    <row r="439" ht="34" customHeight="1" s="486">
      <c r="A439" s="151" t="inlineStr">
        <is>
          <t>Validation Rule1</t>
        </is>
      </c>
      <c r="B439" s="151" t="inlineStr">
        <is>
          <t>isMandatory(PLA.OtherIncomeListS,B438,"B")</t>
        </is>
      </c>
      <c r="C439" s="151" t="inlineStr">
        <is>
          <t>isMandatory(PLA.OtherIncomeListS,C438,"C")</t>
        </is>
      </c>
      <c r="D439" s="151" t="inlineStr">
        <is>
          <t>isMandatory(PLA.OtherIncomeListS,D438,"D")</t>
        </is>
      </c>
      <c r="E439" s="151" t="inlineStr">
        <is>
          <t>isMandatory(PLA.OtherIncomeListS,E438,"E")</t>
        </is>
      </c>
      <c r="F439" s="151" t="inlineStr">
        <is>
          <t>isMandatory(PLA.OtherIncomeListS,F438,"F")</t>
        </is>
      </c>
      <c r="G439" s="151" t="inlineStr">
        <is>
          <t>isMandatory(PLA.OtherIncomeListS,G438,"G")</t>
        </is>
      </c>
      <c r="H439" s="151" t="inlineStr">
        <is>
          <t>isMandatory(PLA.OtherIncomeListS,H438,"H")</t>
        </is>
      </c>
    </row>
    <row r="440" ht="17" customHeight="1" s="486">
      <c r="A440" s="151" t="inlineStr">
        <is>
          <t>Error Message</t>
        </is>
      </c>
      <c r="B440" s="151">
        <f>CONCATENATE(B437,ErrMsg.Mandatory)</f>
        <v/>
      </c>
      <c r="C440" s="151">
        <f>CONCATENATE(C437,ErrMsg.Mandatory)</f>
        <v/>
      </c>
      <c r="D440" s="151">
        <f>CONCATENATE(D437,ErrMsg.Mandatory)</f>
        <v/>
      </c>
      <c r="E440" s="151">
        <f>CONCATENATE(E437,ErrMsg.Mandatory)</f>
        <v/>
      </c>
      <c r="F440" s="151">
        <f>CONCATENATE(F437,ErrMsg.Mandatory)</f>
        <v/>
      </c>
      <c r="G440" s="151">
        <f>CONCATENATE(G437,ErrMsg.Mandatory)</f>
        <v/>
      </c>
      <c r="H440" s="151">
        <f>CONCATENATE(H437,ErrMsg.Mandatory)</f>
        <v/>
      </c>
    </row>
    <row r="441" ht="34" customHeight="1" s="486">
      <c r="A441" s="151" t="inlineStr">
        <is>
          <t>Validation Rule2</t>
        </is>
      </c>
      <c r="B441" s="151" t="inlineStr">
        <is>
          <t>validateAlphaNumeric(PLA.OtherIncomeListS,"B")</t>
        </is>
      </c>
      <c r="C441" s="151" t="inlineStr">
        <is>
          <t>validateCurrencyFormat(PLA.OtherIncomeListS,"C")</t>
        </is>
      </c>
      <c r="D441" s="151" t="inlineStr">
        <is>
          <t>validateCurrencyFormat(PLA.OtherIncomeListS,"D")</t>
        </is>
      </c>
      <c r="E441" s="151" t="inlineStr">
        <is>
          <t>validateCurrencyFormat(PLA.OtherIncomeListS,"E")</t>
        </is>
      </c>
      <c r="F441" s="151" t="inlineStr">
        <is>
          <t>validateCurrencyFormat(PLA.OtherIncomeListS,"F")</t>
        </is>
      </c>
      <c r="G441" s="151" t="inlineStr">
        <is>
          <t>validateCurrencyFormat(PLA.OtherIncomeListS,"G")</t>
        </is>
      </c>
      <c r="H441" s="151" t="inlineStr">
        <is>
          <t>validateCurrencyFormat(PLA.OtherIncomeListS,"H")</t>
        </is>
      </c>
    </row>
    <row r="442" ht="51" customHeight="1" s="486">
      <c r="A442" s="151" t="inlineStr">
        <is>
          <t>Error Message</t>
        </is>
      </c>
      <c r="B442" s="152">
        <f>ErrMsg.alphanumeric</f>
        <v/>
      </c>
      <c r="C442" s="152">
        <f>ErrMsg.NumericVal</f>
        <v/>
      </c>
      <c r="D442" s="152">
        <f>ErrMsg.NumericVal</f>
        <v/>
      </c>
      <c r="E442" s="152">
        <f>ErrMsg.NumericVal</f>
        <v/>
      </c>
      <c r="F442" s="152">
        <f>ErrMsg.NumericVal</f>
        <v/>
      </c>
      <c r="G442" s="152">
        <f>ErrMsg.NumericVal</f>
        <v/>
      </c>
      <c r="H442" s="152">
        <f>ErrMsg.NumericVal</f>
        <v/>
      </c>
    </row>
    <row r="444" ht="34" customHeight="1" s="486">
      <c r="A444" s="149" t="inlineStr">
        <is>
          <t>B_Profit_Loss_Account_Wife</t>
        </is>
      </c>
      <c r="B444" s="149" t="inlineStr">
        <is>
          <t>Name of Income</t>
        </is>
      </c>
      <c r="C444" s="149" t="inlineStr">
        <is>
          <t>Business</t>
        </is>
      </c>
      <c r="D444" s="149" t="inlineStr">
        <is>
          <t>Farming</t>
        </is>
      </c>
      <c r="E444" s="149" t="inlineStr">
        <is>
          <t>Rental</t>
        </is>
      </c>
      <c r="F444" s="149" t="inlineStr">
        <is>
          <t>Interest</t>
        </is>
      </c>
      <c r="G444" s="149" t="inlineStr">
        <is>
          <t>Commission</t>
        </is>
      </c>
      <c r="H444" s="149" t="inlineStr">
        <is>
          <t>Other</t>
        </is>
      </c>
      <c r="R444" s="151" t="inlineStr">
        <is>
          <t>Section B : Profit / Surplus and Loss Account (Wife)</t>
        </is>
      </c>
    </row>
    <row r="445" ht="17" customHeight="1" s="486">
      <c r="A445" s="151" t="inlineStr">
        <is>
          <t>Mandatory</t>
        </is>
      </c>
      <c r="B445" s="151" t="inlineStr">
        <is>
          <t>Y</t>
        </is>
      </c>
      <c r="C445" s="151" t="inlineStr">
        <is>
          <t>Y</t>
        </is>
      </c>
      <c r="D445" s="151" t="inlineStr">
        <is>
          <t>Y</t>
        </is>
      </c>
      <c r="E445" s="151" t="inlineStr">
        <is>
          <t>Y</t>
        </is>
      </c>
      <c r="F445" s="151" t="inlineStr">
        <is>
          <t>Y</t>
        </is>
      </c>
      <c r="G445" s="151" t="inlineStr">
        <is>
          <t>Y</t>
        </is>
      </c>
      <c r="H445" s="151" t="inlineStr">
        <is>
          <t>Y</t>
        </is>
      </c>
    </row>
    <row r="446" ht="34" customHeight="1" s="486">
      <c r="A446" s="151" t="inlineStr">
        <is>
          <t>Validation Rule1</t>
        </is>
      </c>
      <c r="B446" s="151" t="inlineStr">
        <is>
          <t>isMandatory(PLA.OtherIncomeListW,B445,"B")</t>
        </is>
      </c>
      <c r="C446" s="151" t="inlineStr">
        <is>
          <t>isMandatory(PLA.OtherIncomeListW,C445,"C")</t>
        </is>
      </c>
      <c r="D446" s="151" t="inlineStr">
        <is>
          <t>isMandatory(PLA.OtherIncomeListW,D445,"D")</t>
        </is>
      </c>
      <c r="E446" s="151" t="inlineStr">
        <is>
          <t>isMandatory(PLA.OtherIncomeListW,E445,"E")</t>
        </is>
      </c>
      <c r="F446" s="151" t="inlineStr">
        <is>
          <t>isMandatory(PLA.OtherIncomeListW,F445,"F")</t>
        </is>
      </c>
      <c r="G446" s="151" t="inlineStr">
        <is>
          <t>isMandatory(PLA.OtherIncomeListW,G445,"G")</t>
        </is>
      </c>
      <c r="H446" s="151" t="inlineStr">
        <is>
          <t>isMandatory(PLA.OtherIncomeListW,H445,"H")</t>
        </is>
      </c>
    </row>
    <row r="447" ht="17" customHeight="1" s="486">
      <c r="A447" s="151" t="inlineStr">
        <is>
          <t>Error Message</t>
        </is>
      </c>
      <c r="B447" s="151">
        <f>CONCATENATE(B444,ErrMsg.Mandatory)</f>
        <v/>
      </c>
      <c r="C447" s="151">
        <f>CONCATENATE(C444,ErrMsg.Mandatory)</f>
        <v/>
      </c>
      <c r="D447" s="151">
        <f>CONCATENATE(D444,ErrMsg.Mandatory)</f>
        <v/>
      </c>
      <c r="E447" s="151">
        <f>CONCATENATE(E444,ErrMsg.Mandatory)</f>
        <v/>
      </c>
      <c r="F447" s="151">
        <f>CONCATENATE(F444,ErrMsg.Mandatory)</f>
        <v/>
      </c>
      <c r="G447" s="151">
        <f>CONCATENATE(G444,ErrMsg.Mandatory)</f>
        <v/>
      </c>
      <c r="H447" s="151">
        <f>CONCATENATE(H444,ErrMsg.Mandatory)</f>
        <v/>
      </c>
    </row>
    <row r="448" ht="34" customHeight="1" s="486">
      <c r="A448" s="151" t="inlineStr">
        <is>
          <t>Validation Rule2</t>
        </is>
      </c>
      <c r="B448" s="151" t="inlineStr">
        <is>
          <t>validateAlphaNumeric(PLA.OtherIncomeListW,"B")</t>
        </is>
      </c>
      <c r="C448" s="151" t="inlineStr">
        <is>
          <t>validateCurrencyFormat(PLA.OtherIncomeListW,"C")</t>
        </is>
      </c>
      <c r="D448" s="151" t="inlineStr">
        <is>
          <t>validateCurrencyFormat(PLA.OtherIncomeListW,"D")</t>
        </is>
      </c>
      <c r="E448" s="151" t="inlineStr">
        <is>
          <t>validateCurrencyFormat(PLA.OtherIncomeListW,"E")</t>
        </is>
      </c>
      <c r="F448" s="151" t="inlineStr">
        <is>
          <t>validateCurrencyFormat(PLA.OtherIncomeListW,"F")</t>
        </is>
      </c>
      <c r="G448" s="151" t="inlineStr">
        <is>
          <t>validateCurrencyFormat(PLA.OtherIncomeListW,"G")</t>
        </is>
      </c>
      <c r="H448" s="151" t="inlineStr">
        <is>
          <t>validateCurrencyFormat(PLA.OtherIncomeListW,"H")</t>
        </is>
      </c>
    </row>
    <row r="449" ht="51" customHeight="1" s="486">
      <c r="A449" s="151" t="inlineStr">
        <is>
          <t>Error Message</t>
        </is>
      </c>
      <c r="B449" s="152">
        <f>ErrMsg.alphanumeric</f>
        <v/>
      </c>
      <c r="C449" s="152">
        <f>ErrMsg.NumericVal</f>
        <v/>
      </c>
      <c r="D449" s="152">
        <f>ErrMsg.NumericVal</f>
        <v/>
      </c>
      <c r="E449" s="152">
        <f>ErrMsg.NumericVal</f>
        <v/>
      </c>
      <c r="F449" s="152">
        <f>ErrMsg.NumericVal</f>
        <v/>
      </c>
      <c r="G449" s="152">
        <f>ErrMsg.NumericVal</f>
        <v/>
      </c>
      <c r="H449" s="152">
        <f>ErrMsg.NumericVal</f>
        <v/>
      </c>
    </row>
    <row r="469" ht="34" customHeight="1" s="486">
      <c r="A469" s="149" t="inlineStr">
        <is>
          <t>A_Basic_Info</t>
        </is>
      </c>
      <c r="B469" s="194" t="inlineStr">
        <is>
          <t>PIN of Landlord (If Available)</t>
        </is>
      </c>
      <c r="C469" s="194" t="inlineStr">
        <is>
          <t>Name of Landlord</t>
        </is>
      </c>
      <c r="D469" s="194" t="inlineStr">
        <is>
          <t>L.R.Number</t>
        </is>
      </c>
      <c r="E469" s="194" t="inlineStr">
        <is>
          <t>Building</t>
        </is>
      </c>
      <c r="F469" s="194" t="inlineStr">
        <is>
          <t>Street/Road</t>
        </is>
      </c>
      <c r="G469" s="194" t="inlineStr">
        <is>
          <t>City/Town</t>
        </is>
      </c>
      <c r="H469" s="194" t="inlineStr">
        <is>
          <t>County</t>
        </is>
      </c>
      <c r="I469" s="194" t="inlineStr">
        <is>
          <t>District</t>
        </is>
      </c>
      <c r="J469" s="194" t="inlineStr">
        <is>
          <t>Tax Area / Locality</t>
        </is>
      </c>
      <c r="K469" s="194" t="inlineStr">
        <is>
          <t>Descriptive Address</t>
        </is>
      </c>
      <c r="L469" s="194" t="inlineStr">
        <is>
          <t>P.O.Box</t>
        </is>
      </c>
      <c r="M469" s="194" t="inlineStr">
        <is>
          <t>Post Office Name</t>
        </is>
      </c>
      <c r="N469" s="194" t="inlineStr">
        <is>
          <t>Postal Code</t>
        </is>
      </c>
      <c r="O469" s="194" t="inlineStr">
        <is>
          <t>Date From</t>
        </is>
      </c>
      <c r="P469" s="194" t="inlineStr">
        <is>
          <t>Date To</t>
        </is>
      </c>
      <c r="Q469" s="194" t="inlineStr">
        <is>
          <t>Amount of Gross Rent Paid or Payable (Ksh)</t>
        </is>
      </c>
      <c r="R469" s="150" t="inlineStr">
        <is>
          <t>Section A Part 4  : Landlord Details (Self)</t>
        </is>
      </c>
    </row>
    <row r="470" ht="17" customHeight="1" s="486">
      <c r="A470" s="151" t="inlineStr">
        <is>
          <t>Mandatory</t>
        </is>
      </c>
      <c r="B470" s="151" t="inlineStr">
        <is>
          <t>N</t>
        </is>
      </c>
      <c r="C470" s="151" t="inlineStr">
        <is>
          <t>Y</t>
        </is>
      </c>
      <c r="D470" s="151" t="inlineStr">
        <is>
          <t>Y</t>
        </is>
      </c>
      <c r="E470" s="151" t="inlineStr">
        <is>
          <t>Y</t>
        </is>
      </c>
      <c r="F470" s="151" t="inlineStr">
        <is>
          <t>Y</t>
        </is>
      </c>
      <c r="G470" s="151" t="inlineStr">
        <is>
          <t>Y</t>
        </is>
      </c>
      <c r="H470" s="151" t="inlineStr">
        <is>
          <t>Y</t>
        </is>
      </c>
      <c r="I470" s="151" t="inlineStr">
        <is>
          <t>Y</t>
        </is>
      </c>
      <c r="J470" s="151" t="inlineStr">
        <is>
          <t>Y</t>
        </is>
      </c>
      <c r="K470" s="151" t="inlineStr">
        <is>
          <t>N</t>
        </is>
      </c>
      <c r="L470" s="151" t="inlineStr">
        <is>
          <t>Y</t>
        </is>
      </c>
      <c r="M470" s="151" t="inlineStr">
        <is>
          <t>Y</t>
        </is>
      </c>
      <c r="N470" s="151" t="inlineStr">
        <is>
          <t>Y</t>
        </is>
      </c>
      <c r="O470" s="151" t="inlineStr">
        <is>
          <t>Y</t>
        </is>
      </c>
      <c r="P470" s="151" t="inlineStr">
        <is>
          <t>Y</t>
        </is>
      </c>
      <c r="Q470" s="151" t="inlineStr">
        <is>
          <t>Y</t>
        </is>
      </c>
    </row>
    <row r="471" ht="34" customHeight="1" s="486">
      <c r="A471" s="151" t="inlineStr">
        <is>
          <t>Validation Rule1</t>
        </is>
      </c>
      <c r="B471" s="151" t="inlineStr">
        <is>
          <t>isMandatory(RentPaid.RentListS,B470,"A")</t>
        </is>
      </c>
      <c r="C471" s="151" t="inlineStr">
        <is>
          <t>isMandatory(RentPaid.RentListS,C470,"B")</t>
        </is>
      </c>
      <c r="D471" s="151" t="inlineStr">
        <is>
          <t>isMandatory(RentPaid.RentListS,D470,"C")</t>
        </is>
      </c>
      <c r="E471" s="151" t="inlineStr">
        <is>
          <t>isMandatory(RentPaid.RentListS,E470,"D")</t>
        </is>
      </c>
      <c r="F471" s="151" t="inlineStr">
        <is>
          <t>isMandatory(RentPaid.RentListS,F470,"E")</t>
        </is>
      </c>
      <c r="G471" s="151" t="inlineStr">
        <is>
          <t>isMandatory(RentPaid.RentListS,G470,"F")</t>
        </is>
      </c>
      <c r="H471" s="151" t="inlineStr">
        <is>
          <t>isMandatory(RentPaid.RentListS,H470,"g")</t>
        </is>
      </c>
      <c r="I471" s="151" t="inlineStr">
        <is>
          <t>isMandatory(RentPaid.RentListS,I470,"H")</t>
        </is>
      </c>
      <c r="J471" s="151" t="inlineStr">
        <is>
          <t>isMandatory(RentPaid.RentListS,J470,"I")</t>
        </is>
      </c>
      <c r="K471" s="151" t="inlineStr">
        <is>
          <t>isMandatory(RentPaid.RentListS,K470,"J")</t>
        </is>
      </c>
      <c r="L471" s="151" t="inlineStr">
        <is>
          <t>isMandatory(RentPaid.RentListS,L470,"K")</t>
        </is>
      </c>
      <c r="M471" s="151" t="inlineStr">
        <is>
          <t>isMandatory(RentPaid.RentListS,M470,"L")</t>
        </is>
      </c>
      <c r="N471" s="151" t="inlineStr">
        <is>
          <t>isMandatory(RentPaid.RentListS,N470,"M")</t>
        </is>
      </c>
      <c r="O471" s="151" t="inlineStr">
        <is>
          <t>isMandatory(RentPaid.RentListS,O470,"N")</t>
        </is>
      </c>
      <c r="P471" s="151" t="inlineStr">
        <is>
          <t>isMandatory(RentPaid.RentListS,P470,"O")</t>
        </is>
      </c>
      <c r="Q471" s="151" t="inlineStr">
        <is>
          <t>isMandatory(RentPaid.RentListS,Q470,"P")</t>
        </is>
      </c>
    </row>
    <row r="472" ht="34" customHeight="1" s="486">
      <c r="A472" s="151" t="inlineStr">
        <is>
          <t>Error Message</t>
        </is>
      </c>
      <c r="B472" s="151">
        <f>CONCATENATE(B469,ErrMsg.Mandatory)</f>
        <v/>
      </c>
      <c r="C472" s="151">
        <f>CONCATENATE(C469,ErrMsg.Mandatory)</f>
        <v/>
      </c>
      <c r="D472" s="151">
        <f>CONCATENATE(D469,ErrMsg.Mandatory)</f>
        <v/>
      </c>
      <c r="E472" s="151">
        <f>CONCATENATE(E469,ErrMsg.Mandatory)</f>
        <v/>
      </c>
      <c r="F472" s="151">
        <f>CONCATENATE(F469,ErrMsg.Mandatory)</f>
        <v/>
      </c>
      <c r="G472" s="151">
        <f>CONCATENATE(G469,ErrMsg.Mandatory)</f>
        <v/>
      </c>
      <c r="H472" s="151">
        <f>CONCATENATE(H469,ErrMsg.Mandatory)</f>
        <v/>
      </c>
      <c r="I472" s="151">
        <f>CONCATENATE(I469,ErrMsg.Mandatory)</f>
        <v/>
      </c>
      <c r="J472" s="151">
        <f>CONCATENATE(J469,ErrMsg.Mandatory)</f>
        <v/>
      </c>
      <c r="K472" s="151">
        <f>CONCATENATE(K469,ErrMsg.Mandatory)</f>
        <v/>
      </c>
      <c r="L472" s="151">
        <f>CONCATENATE(L469,ErrMsg.Mandatory)</f>
        <v/>
      </c>
      <c r="M472" s="151">
        <f>CONCATENATE(M469,ErrMsg.Mandatory)</f>
        <v/>
      </c>
      <c r="N472" s="151">
        <f>CONCATENATE(N469,ErrMsg.Mandatory)</f>
        <v/>
      </c>
      <c r="O472" s="151">
        <f>CONCATENATE(O469,ErrMsg.Mandatory)</f>
        <v/>
      </c>
      <c r="P472" s="151">
        <f>CONCATENATE(P469,ErrMsg.Mandatory)</f>
        <v/>
      </c>
      <c r="Q472" s="151">
        <f>CONCATENATE(Q469,ErrMsg.Mandatory)</f>
        <v/>
      </c>
    </row>
    <row r="473" ht="34" customHeight="1" s="486">
      <c r="A473" s="151" t="inlineStr">
        <is>
          <t>Validation Rule2</t>
        </is>
      </c>
      <c r="B473" s="151" t="inlineStr">
        <is>
          <t>validatePIN(RentPaid.RentListS,"A")</t>
        </is>
      </c>
      <c r="C473" s="151" t="inlineStr">
        <is>
          <t>validateAlphaNumeric(RentPaid.RentListS,"B")</t>
        </is>
      </c>
      <c r="D473" s="151" t="inlineStr">
        <is>
          <t>validateAlphaNumeric(RentPaid.RentListS,"C")</t>
        </is>
      </c>
      <c r="E473" s="151" t="inlineStr">
        <is>
          <t>validateAlphaNumeric(RentPaid.RentListS,"D")</t>
        </is>
      </c>
      <c r="F473" s="151" t="inlineStr">
        <is>
          <t>validateAlphaNumeric(RentPaid.RentListS,"E")</t>
        </is>
      </c>
      <c r="G473" s="151" t="inlineStr">
        <is>
          <t>validateAlphabetOnly(RentPaid.RentListS,"F")</t>
        </is>
      </c>
      <c r="H473" s="151" t="inlineStr">
        <is>
          <t>validateAlphaNumeric(RentPaid.RentListS,"G")</t>
        </is>
      </c>
      <c r="I473" s="151" t="inlineStr">
        <is>
          <t>validateAlphaNumeric(RentPaid.RentListS,"H")</t>
        </is>
      </c>
      <c r="J473" s="151" t="inlineStr">
        <is>
          <t>validateAlphaNumeric(RentPaid.RentListS,"I")</t>
        </is>
      </c>
      <c r="K473" s="151" t="inlineStr">
        <is>
          <t>validateAlphaNumeric(RentPaid.RentListS,"J")</t>
        </is>
      </c>
      <c r="L473" s="151" t="inlineStr">
        <is>
          <t>validateNumericAccount(RentPaid.RentListS,"K")</t>
        </is>
      </c>
      <c r="O473" s="151" t="inlineStr">
        <is>
          <t>validateDate(RentPaid.RentListS,"N")</t>
        </is>
      </c>
      <c r="P473" s="151" t="inlineStr">
        <is>
          <t>validateDate(RentPaid.RentListS,"O")</t>
        </is>
      </c>
      <c r="Q473" s="151" t="inlineStr">
        <is>
          <t>validateCurrencyFormat(RentPaid.RentListS,"P")</t>
        </is>
      </c>
    </row>
    <row r="474" ht="51" customHeight="1" s="486">
      <c r="A474" s="151" t="inlineStr">
        <is>
          <t>Error Message</t>
        </is>
      </c>
      <c r="B474" s="152">
        <f>CONCATENATE("Please enter ",B469,ErrMsg.PinFormat)</f>
        <v/>
      </c>
      <c r="C474" s="152">
        <f>ErrMsg.alphanumeric</f>
        <v/>
      </c>
      <c r="D474" s="152">
        <f>ErrMsg.alphanumeric</f>
        <v/>
      </c>
      <c r="E474" s="152">
        <f>ErrMsg.alphanumeric</f>
        <v/>
      </c>
      <c r="F474" s="152">
        <f>ErrMsg.alphanumeric</f>
        <v/>
      </c>
      <c r="G474" s="152">
        <f>ErrMsg.Alphabet</f>
        <v/>
      </c>
      <c r="H474" s="152">
        <f>ErrMsg.alphanumeric</f>
        <v/>
      </c>
      <c r="I474" s="152">
        <f>ErrMsg.alphanumeric</f>
        <v/>
      </c>
      <c r="J474" s="152">
        <f>ErrMsg.alphanumeric</f>
        <v/>
      </c>
      <c r="K474" s="152">
        <f>ErrMsg.alphanumeric</f>
        <v/>
      </c>
      <c r="L474" s="152">
        <f>ErrMsg.NumericVal</f>
        <v/>
      </c>
      <c r="M474" s="152" t="n"/>
      <c r="O474" s="151">
        <f>CONCATENATE("Please enter ",O469,ErrMsg.DateFormat)</f>
        <v/>
      </c>
      <c r="P474" s="151">
        <f>CONCATENATE("Please enter ",P469,ErrMsg.DateFormat)</f>
        <v/>
      </c>
      <c r="Q474" s="152">
        <f>ErrMsg.NumericVal</f>
        <v/>
      </c>
    </row>
    <row r="475" ht="68" customHeight="1" s="486">
      <c r="A475" s="151" t="inlineStr">
        <is>
          <t>Validation Rule3</t>
        </is>
      </c>
      <c r="B475" s="152" t="inlineStr">
        <is>
          <t>checkPINDuplication("RentPaid.RentListS",RentPaid.RentListS,"A")</t>
        </is>
      </c>
      <c r="C475" s="152" t="n"/>
      <c r="D475" s="152" t="n"/>
      <c r="E475" s="152" t="n"/>
      <c r="F475" s="152" t="n"/>
      <c r="G475" s="152" t="n"/>
      <c r="H475" s="152" t="n"/>
      <c r="I475" s="152" t="n"/>
      <c r="J475" s="152" t="n"/>
      <c r="K475" s="152" t="n"/>
      <c r="L475" s="152" t="n"/>
      <c r="M475" s="152" t="n"/>
      <c r="O475" s="151" t="inlineStr">
        <is>
          <t>validateDateBtwnRtnPeriod(RentPaid.RentListS,"N")</t>
        </is>
      </c>
      <c r="P475" s="151" t="inlineStr">
        <is>
          <t>validateDateBtwnRtnPeriod(RentPaid.RentListS,"O")</t>
        </is>
      </c>
      <c r="Q475" s="152" t="inlineStr">
        <is>
          <t>IF(RetInf.DeclareSelfBusIncome="Yes",compareValuesSum(RentPaid.GrossRentalIncomeS,PLA.RentPermisesS,PLA.RentEmployeeS),"NE")</t>
        </is>
      </c>
    </row>
    <row r="476" ht="85" customHeight="1" s="486">
      <c r="A476" s="151" t="inlineStr">
        <is>
          <t>Error Message</t>
        </is>
      </c>
      <c r="B476" s="152">
        <f>CONCATENATE(B469,ErrMsg.CompareToTaxPayerPin)</f>
        <v/>
      </c>
      <c r="C476" s="152" t="n"/>
      <c r="D476" s="152" t="n"/>
      <c r="E476" s="152" t="n"/>
      <c r="F476" s="152" t="n"/>
      <c r="G476" s="152" t="n"/>
      <c r="H476" s="152" t="n"/>
      <c r="I476" s="152" t="n"/>
      <c r="J476" s="152" t="n"/>
      <c r="K476" s="152" t="n"/>
      <c r="L476" s="152" t="n"/>
      <c r="M476" s="152" t="n"/>
      <c r="O476" s="151">
        <f>ErrMsg.WithinRtnPeriod</f>
        <v/>
      </c>
      <c r="P476" s="151">
        <f>ErrMsg.WithinRtnPeriod</f>
        <v/>
      </c>
      <c r="Q476" s="152" t="inlineStr">
        <is>
          <t>The Amount of Gross Rent Paid or Payable must be equal to "Sum Of Rent Expenses for Premises and Rent Expenses for Employees" in B_Profit_Loss_Account_Self</t>
        </is>
      </c>
    </row>
    <row r="478" ht="34" customHeight="1" s="486">
      <c r="A478" s="149" t="inlineStr">
        <is>
          <t>A_Basic_Info</t>
        </is>
      </c>
      <c r="B478" s="194" t="inlineStr">
        <is>
          <t>PIN of Landlord (If Available)</t>
        </is>
      </c>
      <c r="C478" s="194" t="inlineStr">
        <is>
          <t>Name of Landlord</t>
        </is>
      </c>
      <c r="D478" s="194" t="inlineStr">
        <is>
          <t>L.R.Number</t>
        </is>
      </c>
      <c r="E478" s="194" t="inlineStr">
        <is>
          <t>Building</t>
        </is>
      </c>
      <c r="F478" s="194" t="inlineStr">
        <is>
          <t>Street/Road</t>
        </is>
      </c>
      <c r="G478" s="194" t="inlineStr">
        <is>
          <t>City/Town</t>
        </is>
      </c>
      <c r="H478" s="194" t="inlineStr">
        <is>
          <t>County</t>
        </is>
      </c>
      <c r="I478" s="194" t="inlineStr">
        <is>
          <t>District</t>
        </is>
      </c>
      <c r="J478" s="194" t="inlineStr">
        <is>
          <t>Tax Area / Locality</t>
        </is>
      </c>
      <c r="K478" s="194" t="inlineStr">
        <is>
          <t>Descriptive Address</t>
        </is>
      </c>
      <c r="L478" s="194" t="inlineStr">
        <is>
          <t>P.O.Box</t>
        </is>
      </c>
      <c r="M478" s="194" t="inlineStr">
        <is>
          <t>Post Office Name</t>
        </is>
      </c>
      <c r="N478" s="194" t="inlineStr">
        <is>
          <t>Postal Code</t>
        </is>
      </c>
      <c r="O478" s="194" t="inlineStr">
        <is>
          <t>Date From</t>
        </is>
      </c>
      <c r="P478" s="194" t="inlineStr">
        <is>
          <t>Date To</t>
        </is>
      </c>
      <c r="Q478" s="194" t="inlineStr">
        <is>
          <t>Amount of Gross Rent Paid or Payable (Ksh)</t>
        </is>
      </c>
      <c r="R478" s="150" t="inlineStr">
        <is>
          <t>Section A Part 4  : Landlord Details (Wife)</t>
        </is>
      </c>
    </row>
    <row r="479" ht="17" customHeight="1" s="486">
      <c r="A479" s="151" t="inlineStr">
        <is>
          <t>Mandatory</t>
        </is>
      </c>
      <c r="B479" s="151" t="inlineStr">
        <is>
          <t>N</t>
        </is>
      </c>
      <c r="C479" s="151" t="inlineStr">
        <is>
          <t>Y</t>
        </is>
      </c>
      <c r="D479" s="151" t="inlineStr">
        <is>
          <t>Y</t>
        </is>
      </c>
      <c r="E479" s="151" t="inlineStr">
        <is>
          <t>Y</t>
        </is>
      </c>
      <c r="F479" s="151" t="inlineStr">
        <is>
          <t>Y</t>
        </is>
      </c>
      <c r="G479" s="151" t="inlineStr">
        <is>
          <t>Y</t>
        </is>
      </c>
      <c r="H479" s="151" t="inlineStr">
        <is>
          <t>Y</t>
        </is>
      </c>
      <c r="I479" s="151" t="inlineStr">
        <is>
          <t>Y</t>
        </is>
      </c>
      <c r="J479" s="151" t="inlineStr">
        <is>
          <t>Y</t>
        </is>
      </c>
      <c r="K479" s="151" t="inlineStr">
        <is>
          <t>N</t>
        </is>
      </c>
      <c r="L479" s="151" t="inlineStr">
        <is>
          <t>Y</t>
        </is>
      </c>
      <c r="M479" s="151" t="inlineStr">
        <is>
          <t>Y</t>
        </is>
      </c>
      <c r="N479" s="151" t="inlineStr">
        <is>
          <t>Y</t>
        </is>
      </c>
      <c r="O479" s="151" t="inlineStr">
        <is>
          <t>Y</t>
        </is>
      </c>
      <c r="P479" s="151" t="inlineStr">
        <is>
          <t>Y</t>
        </is>
      </c>
      <c r="Q479" s="151" t="inlineStr">
        <is>
          <t>Y</t>
        </is>
      </c>
    </row>
    <row r="480" ht="51" customHeight="1" s="486">
      <c r="A480" s="151" t="inlineStr">
        <is>
          <t>Validation Rule1</t>
        </is>
      </c>
      <c r="B480" s="151" t="inlineStr">
        <is>
          <t>IF(RetInf.DeclareWifeIncome="Yes",isMandatory(RentPaid.RentListW,B479,"A"),"NE")</t>
        </is>
      </c>
      <c r="C480" s="151" t="inlineStr">
        <is>
          <t>IF(RetInf.DeclareWifeIncome="Yes",isMandatory(RentPaid.RentListW,C479,"B"),"NE")</t>
        </is>
      </c>
      <c r="D480" s="151" t="inlineStr">
        <is>
          <t>IF(RetInf.DeclareWifeIncome="Yes",isMandatory(RentPaid.RentListW,D479,"C"),"NE")</t>
        </is>
      </c>
      <c r="E480" s="151" t="inlineStr">
        <is>
          <t>IF(RetInf.DeclareWifeIncome="Yes",isMandatory(RentPaid.RentListW,E479,"D"),"NE")</t>
        </is>
      </c>
      <c r="F480" s="151" t="inlineStr">
        <is>
          <t>IF(RetInf.DeclareWifeIncome="Yes",isMandatory(RentPaid.RentListW,F479,"E"),"NE")</t>
        </is>
      </c>
      <c r="G480" s="151" t="inlineStr">
        <is>
          <t>IF(RetInf.DeclareWifeIncome="Yes",isMandatory(RentPaid.RentListW,G479,"F"),"NE")</t>
        </is>
      </c>
      <c r="H480" s="151" t="inlineStr">
        <is>
          <t>IF(RetInf.DeclareWifeIncome="Yes",isMandatory(RentPaid.RentListW,H479,"G"),"NE")</t>
        </is>
      </c>
      <c r="I480" s="151" t="inlineStr">
        <is>
          <t>IF(RetInf.DeclareWifeIncome="Yes",isMandatory(RentPaid.RentListW,I479,"H"),"NE")</t>
        </is>
      </c>
      <c r="J480" s="151" t="inlineStr">
        <is>
          <t>IF(RetInf.DeclareWifeIncome="Yes",isMandatory(RentPaid.RentListW,J479,"I"),"NE")</t>
        </is>
      </c>
      <c r="K480" s="151" t="inlineStr">
        <is>
          <t>IF(RetInf.DeclareWifeIncome="Yes",isMandatory(RentPaid.RentListW,K479,"J"),"NE")</t>
        </is>
      </c>
      <c r="L480" s="151" t="inlineStr">
        <is>
          <t>IF(RetInf.DeclareWifeIncome="Yes",isMandatory(RentPaid.RentListW,L479,"K"),"NE")</t>
        </is>
      </c>
      <c r="M480" s="151" t="inlineStr">
        <is>
          <t>IF(RetInf.DeclareWifeIncome="Yes",isMandatory(RentPaid.RentListW,M479,"L"),"NE")</t>
        </is>
      </c>
      <c r="N480" s="151" t="inlineStr">
        <is>
          <t>IF(RetInf.DeclareWifeIncome="Yes",isMandatory(RentPaid.RentListW,N479,"M"),"NE")</t>
        </is>
      </c>
      <c r="O480" s="151" t="inlineStr">
        <is>
          <t>IF(RetInf.DeclareWifeIncome="Yes",isMandatory(RentPaid.RentListW,O479,"N"),"NE")</t>
        </is>
      </c>
      <c r="P480" s="151" t="inlineStr">
        <is>
          <t>IF(RetInf.DeclareWifeIncome="Yes",isMandatory(RentPaid.RentListW,P479,"O"),"NE")</t>
        </is>
      </c>
      <c r="Q480" s="151" t="inlineStr">
        <is>
          <t>IF(RetInf.DeclareWifeIncome="Yes",isMandatory(RentPaid.RentListW,Q479,"P"),"NE")</t>
        </is>
      </c>
    </row>
    <row r="481" ht="34" customHeight="1" s="486">
      <c r="A481" s="151" t="inlineStr">
        <is>
          <t>Error Message</t>
        </is>
      </c>
      <c r="B481" s="151">
        <f>CONCATENATE(B478,ErrMsg.Mandatory)</f>
        <v/>
      </c>
      <c r="C481" s="151">
        <f>CONCATENATE(C478,ErrMsg.Mandatory)</f>
        <v/>
      </c>
      <c r="D481" s="151">
        <f>CONCATENATE(D478,ErrMsg.Mandatory)</f>
        <v/>
      </c>
      <c r="E481" s="151">
        <f>CONCATENATE(E478,ErrMsg.Mandatory)</f>
        <v/>
      </c>
      <c r="F481" s="151">
        <f>CONCATENATE(F478,ErrMsg.Mandatory)</f>
        <v/>
      </c>
      <c r="G481" s="151">
        <f>CONCATENATE(G478,ErrMsg.Mandatory)</f>
        <v/>
      </c>
      <c r="I481" s="151">
        <f>CONCATENATE(I478,ErrMsg.Mandatory)</f>
        <v/>
      </c>
      <c r="J481" s="151">
        <f>CONCATENATE(J478,ErrMsg.Mandatory)</f>
        <v/>
      </c>
      <c r="K481" s="151">
        <f>CONCATENATE(K478,ErrMsg.Mandatory)</f>
        <v/>
      </c>
      <c r="L481" s="151">
        <f>CONCATENATE(L478,ErrMsg.Mandatory)</f>
        <v/>
      </c>
      <c r="M481" s="151">
        <f>CONCATENATE(M478,ErrMsg.Mandatory)</f>
        <v/>
      </c>
      <c r="N481" s="151">
        <f>CONCATENATE(N478,ErrMsg.Mandatory)</f>
        <v/>
      </c>
      <c r="O481" s="151">
        <f>CONCATENATE(O478,ErrMsg.Mandatory)</f>
        <v/>
      </c>
      <c r="P481" s="151">
        <f>CONCATENATE(P478,ErrMsg.Mandatory)</f>
        <v/>
      </c>
      <c r="Q481" s="151">
        <f>CONCATENATE(Q478,ErrMsg.Mandatory)</f>
        <v/>
      </c>
    </row>
    <row r="482" ht="51" customHeight="1" s="486">
      <c r="A482" s="151" t="inlineStr">
        <is>
          <t>Validation Rule2</t>
        </is>
      </c>
      <c r="B482" s="151" t="inlineStr">
        <is>
          <t>IF(RetInf.DeclareWifeIncome="Yes",validatePIN(RentPaid.RentListW,"A"),"NE")</t>
        </is>
      </c>
      <c r="C482" s="151" t="inlineStr">
        <is>
          <t>IF(RetInf.DeclareWifeIncome="Yes",validateAlphaNumeric(RentPaid.RentListW,"B"),"NE")</t>
        </is>
      </c>
      <c r="D482" s="151" t="inlineStr">
        <is>
          <t>IF(RetInf.DeclareWifeIncome="Yes",validateAlphaNumeric(RentPaid.RentListW,"C"),"NE")</t>
        </is>
      </c>
      <c r="E482" s="151" t="inlineStr">
        <is>
          <t>IF(RetInf.DeclareWifeIncome="Yes",validateAlphaNumeric(RentPaid.RentListW,"D"),"NE")</t>
        </is>
      </c>
      <c r="F482" s="151" t="inlineStr">
        <is>
          <t>IF(RetInf.DeclareWifeIncome="Yes",validateAlphaNumeric(RentPaid.RentListW,"E"),"NE")</t>
        </is>
      </c>
      <c r="G482" s="151" t="inlineStr">
        <is>
          <t>IF(RetInf.DeclareWifeIncome="Yes",validateAlphabetOnly(RentPaid.RentListW,"F"),"NE")</t>
        </is>
      </c>
      <c r="H482" s="151" t="inlineStr">
        <is>
          <t>validateAlphaNumeric(RentPaid.RentListW,"G")</t>
        </is>
      </c>
      <c r="I482" s="151" t="inlineStr">
        <is>
          <t>IF(RetInf.DeclareWifeIncome="Yes",validateAlphaNumeric(RentPaid.RentListW,"H"),"NE")</t>
        </is>
      </c>
      <c r="J482" s="151" t="inlineStr">
        <is>
          <t>IF(RetInf.DeclareWifeIncome="Yes",validateAlphaNumeric(RentPaid.RentListW,"I"),"NE")</t>
        </is>
      </c>
      <c r="K482" s="151" t="inlineStr">
        <is>
          <t>validateAlphaNumeric(RentPaid.RentListW,"J")</t>
        </is>
      </c>
      <c r="L482" s="151" t="inlineStr">
        <is>
          <t>IF(RetInf.DeclareWifeIncome="Yes",validateNumericAccount(RentPaid.RentListW,"K"),"NE")</t>
        </is>
      </c>
      <c r="O482" s="151" t="inlineStr">
        <is>
          <t>IF(RetInf.DeclareWifeIncome="Yes",validateDate(RentPaid.RentListW,"N"),"NE")</t>
        </is>
      </c>
      <c r="P482" s="151" t="inlineStr">
        <is>
          <t>IF(RetInf.DeclareWifeIncome="Yes",validateDate(RentPaid.RentListW,"O"),"NE")</t>
        </is>
      </c>
      <c r="Q482" s="151" t="inlineStr">
        <is>
          <t>IF(RetInf.DeclareWifeIncome="Yes",validateCurrencyFormat(RentPaid.RentListW,"P"),"NE")</t>
        </is>
      </c>
    </row>
    <row r="483" ht="51" customHeight="1" s="486">
      <c r="A483" s="151" t="inlineStr">
        <is>
          <t>Error Message</t>
        </is>
      </c>
      <c r="B483" s="152">
        <f>CONCATENATE("Please enter ",B478,ErrMsg.PinFormat)</f>
        <v/>
      </c>
      <c r="C483" s="152">
        <f>ErrMsg.alphanumeric</f>
        <v/>
      </c>
      <c r="D483" s="152">
        <f>ErrMsg.alphanumeric</f>
        <v/>
      </c>
      <c r="E483" s="152">
        <f>ErrMsg.alphanumeric</f>
        <v/>
      </c>
      <c r="F483" s="152">
        <f>ErrMsg.alphanumeric</f>
        <v/>
      </c>
      <c r="G483" s="152">
        <f>ErrMsg.Alphabet</f>
        <v/>
      </c>
      <c r="H483" s="152">
        <f>ErrMsg.alphanumeric</f>
        <v/>
      </c>
      <c r="I483" s="152">
        <f>ErrMsg.alphanumeric</f>
        <v/>
      </c>
      <c r="J483" s="152">
        <f>ErrMsg.alphanumeric</f>
        <v/>
      </c>
      <c r="K483" s="152">
        <f>ErrMsg.alphanumeric</f>
        <v/>
      </c>
      <c r="L483" s="152">
        <f>ErrMsg.NumericVal</f>
        <v/>
      </c>
      <c r="M483" s="152" t="n"/>
      <c r="O483" s="151">
        <f>CONCATENATE("Please enter ",O478,ErrMsg.DateFormat)</f>
        <v/>
      </c>
      <c r="P483" s="151">
        <f>CONCATENATE("Please enter ",P478,ErrMsg.DateFormat)</f>
        <v/>
      </c>
      <c r="Q483" s="152">
        <f>ErrMsg.NumericVal</f>
        <v/>
      </c>
    </row>
    <row r="484" ht="68" customHeight="1" s="486">
      <c r="A484" s="151" t="inlineStr">
        <is>
          <t>Validation Rule3</t>
        </is>
      </c>
      <c r="B484" s="152" t="inlineStr">
        <is>
          <t>checkPINDuplication("RentPaid.RentListW",RentPaid.RentListW,"A")</t>
        </is>
      </c>
      <c r="C484" s="152" t="n"/>
      <c r="D484" s="152" t="n"/>
      <c r="E484" s="152" t="n"/>
      <c r="F484" s="152" t="n"/>
      <c r="G484" s="152" t="n"/>
      <c r="H484" s="152" t="n"/>
      <c r="I484" s="152" t="n"/>
      <c r="J484" s="152" t="n"/>
      <c r="K484" s="152" t="n"/>
      <c r="O484" s="151" t="inlineStr">
        <is>
          <t>validateDateBtwnRtnPeriod(RentPaid.RentListW,"N")</t>
        </is>
      </c>
      <c r="P484" s="151" t="inlineStr">
        <is>
          <t>validateDateBtwnRtnPeriod(RentPaid.RentListW,"O")</t>
        </is>
      </c>
      <c r="Q484" s="152" t="inlineStr">
        <is>
          <t>IF(RetInf.DeclareWifeBusIncome="Yes",compareValuesSum(RentPaid.GrossRentalIncomeW,PLA.RentPermisesW,PLA.RentEmployeeW),"NE")</t>
        </is>
      </c>
    </row>
    <row r="485" ht="85" customHeight="1" s="486">
      <c r="A485" s="151" t="inlineStr">
        <is>
          <t>Error Message</t>
        </is>
      </c>
      <c r="B485" s="152">
        <f>CONCATENATE(B478,ErrMsg.CompareToTaxPayerPin)</f>
        <v/>
      </c>
      <c r="C485" s="152" t="n"/>
      <c r="D485" s="152" t="n"/>
      <c r="E485" s="152" t="n"/>
      <c r="F485" s="152" t="n"/>
      <c r="G485" s="152" t="n"/>
      <c r="H485" s="152" t="n"/>
      <c r="I485" s="152" t="n"/>
      <c r="J485" s="152" t="n"/>
      <c r="K485" s="152" t="n"/>
      <c r="O485" s="151">
        <f>ErrMsg.WithinRtnPeriod</f>
        <v/>
      </c>
      <c r="P485" s="151">
        <f>ErrMsg.WithinRtnPeriod</f>
        <v/>
      </c>
      <c r="Q485" s="152" t="inlineStr">
        <is>
          <t>The Amount of Gross Rent Paid or Payable must be equal to "Sum Of Rent Expenses for Premises and Rent Expenses for Employees" in B_Profit_Loss_Account_Wife</t>
        </is>
      </c>
    </row>
  </sheetData>
  <sheetProtection selectLockedCells="0" selectUnlockedCells="0" algorithmName="SHA-512" sheet="1" objects="1" insertRows="1" insertHyperlinks="1" autoFilter="1" scenarios="1" formatColumns="1" deleteColumns="1" insertColumns="1" pivotTables="1" deleteRows="1" formatCells="1" saltValue="W5tAxXv18sjtPt0eHsQDaQ==" formatRows="1" sort="1" spinCount="100000" hashValue="0rX7L4ha/3DaQwPWKZBYXPp/SBED6k9F3kigsC99z1w30DCl3kjsybyADIQZFg8qG5i/9IrOZdjvQIKtue2bIA=="/>
  <pageMargins left="0.7" right="0.7" top="0.75" bottom="0.75" header="0.5118055555555555" footer="0.5118055555555555"/>
  <pageSetup orientation="portrait" paperSize="9" firstPageNumber="0" horizontalDpi="300" verticalDpi="300"/>
</worksheet>
</file>

<file path=xl/worksheets/sheet6.xml><?xml version="1.0" encoding="utf-8"?>
<worksheet xmlns:r="http://schemas.openxmlformats.org/officeDocument/2006/relationships" xmlns="http://schemas.openxmlformats.org/spreadsheetml/2006/main">
  <sheetPr codeName="Sheet26">
    <outlinePr summaryBelow="1" summaryRight="1"/>
    <pageSetUpPr/>
  </sheetPr>
  <dimension ref="A1:H25"/>
  <sheetViews>
    <sheetView tabSelected="1" workbookViewId="0">
      <selection activeCell="E23" sqref="E23:G23"/>
    </sheetView>
  </sheetViews>
  <sheetFormatPr baseColWidth="10" defaultColWidth="0" defaultRowHeight="15" customHeight="1" zeroHeight="1"/>
  <cols>
    <col width="9.1640625" customWidth="1" style="482" min="1" max="1"/>
    <col width="24.6640625" customWidth="1" style="486" min="2" max="2"/>
    <col width="8.83203125" customWidth="1" style="486" min="3" max="3"/>
    <col width="114.6640625" customWidth="1" style="486" min="4" max="4"/>
    <col width="9.1640625" customWidth="1" style="482" min="5" max="8"/>
  </cols>
  <sheetData>
    <row r="1" ht="13.5" customHeight="1" s="486">
      <c r="A1" s="482" t="n"/>
      <c r="B1" s="485" t="inlineStr">
        <is>
          <t>It has been detected that Macros are not enabled/Sheet is opened in Protected View in your System. Please follow below instructions to proceed.</t>
        </is>
      </c>
      <c r="E1" s="482" t="n"/>
    </row>
    <row r="2" ht="14.25" customHeight="1" s="486"/>
    <row r="3" ht="12" customFormat="1" customHeight="1" s="483"/>
    <row r="4" ht="16" customFormat="1" customHeight="1" s="483">
      <c r="B4" s="484" t="inlineStr">
        <is>
          <t>Help on Enable Macro:</t>
        </is>
      </c>
      <c r="C4" s="478" t="n"/>
      <c r="D4" s="478" t="n"/>
    </row>
    <row r="5" ht="16" customFormat="1" customHeight="1" s="483">
      <c r="B5" s="359" t="inlineStr">
        <is>
          <t>FOR EXCEL 2010 :-</t>
        </is>
      </c>
      <c r="C5" s="315" t="n"/>
      <c r="D5" s="316" t="n"/>
    </row>
    <row r="6" ht="16" customFormat="1" customHeight="1" s="483">
      <c r="B6" s="314" t="n"/>
      <c r="C6" s="317" t="n">
        <v>1</v>
      </c>
      <c r="D6" s="317" t="inlineStr">
        <is>
          <t>Click the File Menu (Office BackStage), and then select Options from the left sidebar.</t>
        </is>
      </c>
    </row>
    <row r="7" ht="16" customFormat="1" customHeight="1" s="483">
      <c r="B7" s="314" t="n"/>
      <c r="C7" s="317" t="n">
        <v>2</v>
      </c>
      <c r="D7" s="317" t="inlineStr">
        <is>
          <t>Click Trust Center, click Trust Center Settings, and then click Macro Settings.</t>
        </is>
      </c>
    </row>
    <row r="8" ht="16" customFormat="1" customHeight="1" s="483">
      <c r="B8" s="314" t="n"/>
      <c r="C8" s="317" t="n">
        <v>3</v>
      </c>
      <c r="D8" s="317" t="inlineStr">
        <is>
          <t>Select "Enable all macros". Click on 'OK'.</t>
        </is>
      </c>
    </row>
    <row r="9" ht="16" customHeight="1" s="486">
      <c r="B9" s="314" t="n"/>
      <c r="C9" s="317" t="n">
        <v>4</v>
      </c>
      <c r="D9" s="317" t="inlineStr">
        <is>
          <t>Open the file again.</t>
        </is>
      </c>
    </row>
    <row r="10" ht="5.25" customHeight="1" s="486">
      <c r="B10" s="314" t="n"/>
      <c r="C10" s="315" t="n"/>
      <c r="D10" s="316" t="n"/>
    </row>
    <row r="11" ht="16" customHeight="1" s="486">
      <c r="B11" s="359" t="inlineStr">
        <is>
          <t>FOR EXCEL 2007 :-</t>
        </is>
      </c>
      <c r="C11" s="315" t="n"/>
      <c r="D11" s="316" t="n"/>
    </row>
    <row r="12" ht="16" customHeight="1" s="486">
      <c r="B12" s="314" t="n"/>
      <c r="C12" s="317" t="n">
        <v>1</v>
      </c>
      <c r="D12" s="317" t="inlineStr">
        <is>
          <t>Click the Microsoft Office Button                 , and then click Excel Options.</t>
        </is>
      </c>
    </row>
    <row r="13" ht="16" customHeight="1" s="486">
      <c r="B13" s="314" t="n"/>
      <c r="C13" s="317" t="n">
        <v>2</v>
      </c>
      <c r="D13" s="317" t="inlineStr">
        <is>
          <t>Click Trust Center, click Trust Center Settings, and then click Macro Settings.</t>
        </is>
      </c>
    </row>
    <row r="14" ht="16" customHeight="1" s="486">
      <c r="B14" s="314" t="n"/>
      <c r="C14" s="317" t="n">
        <v>3</v>
      </c>
      <c r="D14" s="317" t="inlineStr">
        <is>
          <t>Select "Enable all macros". Click on 'OK'.</t>
        </is>
      </c>
    </row>
    <row r="15" ht="16" customHeight="1" s="486">
      <c r="B15" s="314" t="n"/>
      <c r="C15" s="317" t="n">
        <v>4</v>
      </c>
      <c r="D15" s="317" t="inlineStr">
        <is>
          <t>Open the file again.</t>
        </is>
      </c>
    </row>
    <row r="16" ht="5.25" customHeight="1" s="486">
      <c r="B16" s="314" t="n"/>
      <c r="C16" s="315" t="n"/>
      <c r="D16" s="316" t="n"/>
    </row>
    <row r="17" ht="16" customHeight="1" s="486">
      <c r="B17" s="359" t="inlineStr">
        <is>
          <t>FOR OTHER EXCEL VERSIONS :-</t>
        </is>
      </c>
      <c r="C17" s="315" t="n"/>
      <c r="D17" s="316" t="n"/>
    </row>
    <row r="18" ht="34" customHeight="1" s="486">
      <c r="B18" s="314" t="n"/>
      <c r="C18" s="317" t="n">
        <v>1</v>
      </c>
      <c r="D18" s="318" t="inlineStr">
        <is>
          <t>Select the Tools menu option and then select Macro and Security. In the resulting Security dialog, set the security level to Low by clicking the Low radio button.</t>
        </is>
      </c>
    </row>
    <row r="19" ht="34" customHeight="1" s="486">
      <c r="B19" s="314" t="n"/>
      <c r="C19" s="317" t="n">
        <v>2</v>
      </c>
      <c r="D19" s="318" t="inlineStr">
        <is>
          <t>Close the file and any other instances of the application currently running on the computer (close all excel applications that also use the application you are currently running).</t>
        </is>
      </c>
    </row>
    <row r="20" ht="17" customHeight="1" s="486">
      <c r="B20" s="314" t="n"/>
      <c r="C20" s="317" t="n">
        <v>3</v>
      </c>
      <c r="D20" s="318" t="inlineStr">
        <is>
          <t>Open the file again.</t>
        </is>
      </c>
    </row>
    <row r="21" ht="17" customHeight="1" s="486">
      <c r="B21" s="360" t="n"/>
      <c r="C21" s="317" t="n">
        <v>4</v>
      </c>
      <c r="D21" s="318" t="inlineStr">
        <is>
          <t>Click the Enable button to allow the macro to run.</t>
        </is>
      </c>
    </row>
    <row r="22">
      <c r="B22" s="482" t="n"/>
    </row>
    <row r="23">
      <c r="E23" s="482" t="n"/>
    </row>
    <row r="24" hidden="1" s="486"/>
    <row r="25" hidden="1" s="486">
      <c r="B25" s="581" t="n"/>
    </row>
  </sheetData>
  <sheetProtection selectLockedCells="0" selectUnlockedCells="0" algorithmName="SHA-512" sheet="1" objects="1" insertRows="1" insertHyperlinks="1" autoFilter="1" scenarios="1" formatColumns="1" deleteColumns="1" insertColumns="1" pivotTables="1" deleteRows="1" formatCells="1" saltValue="ALL32cndfrEXTKzUbbD+dw==" formatRows="1" sort="1" spinCount="100000" hashValue="OmIe4tlMWJ7nU5AHu/oqGfBMGoDSUEVu+DHiUq1u5t1DVCfpwim9lhta6DDZK9Q7b6h6jLOZHV8zNqx8+KeIRw=="/>
  <mergeCells count="6">
    <mergeCell ref="E1:H22"/>
    <mergeCell ref="E23:G23"/>
    <mergeCell ref="B4:D4"/>
    <mergeCell ref="B1:D3"/>
    <mergeCell ref="B22:D23"/>
    <mergeCell ref="A1:A23"/>
  </mergeCells>
  <pageMargins left="0.7" right="0.7" top="0.75" bottom="0.75" header="0.3" footer="0.3"/>
  <pageSetup orientation="portrait" horizontalDpi="90" verticalDpi="90"/>
  <drawing r:id="rId1"/>
</worksheet>
</file>

<file path=xl/worksheets/sheet7.xml><?xml version="1.0" encoding="utf-8"?>
<worksheet xmlns="http://schemas.openxmlformats.org/spreadsheetml/2006/main">
  <sheetPr codeName="Sheet25">
    <outlinePr summaryBelow="1" summaryRight="1"/>
    <pageSetUpPr/>
  </sheetPr>
  <dimension ref="A1:K1001"/>
  <sheetViews>
    <sheetView workbookViewId="0">
      <pane ySplit="1" topLeftCell="A973" activePane="bottomLeft" state="frozen"/>
      <selection pane="bottomLeft" activeCell="A961" sqref="A961:IV1001"/>
    </sheetView>
  </sheetViews>
  <sheetFormatPr baseColWidth="10" defaultColWidth="8.83203125" defaultRowHeight="15"/>
  <cols>
    <col width="11.33203125" customWidth="1" style="486" min="1" max="1"/>
    <col width="10" customWidth="1" style="486" min="2" max="2"/>
    <col width="12.1640625" customWidth="1" style="486" min="3" max="3"/>
    <col width="13.5" customWidth="1" style="486" min="4" max="4"/>
    <col width="12.6640625" customWidth="1" style="486" min="5" max="5"/>
    <col width="11.83203125" customWidth="1" style="486" min="6" max="6"/>
    <col width="14.1640625" customWidth="1" style="486" min="7" max="7"/>
    <col width="13.6640625" bestFit="1" customWidth="1" style="486" min="8" max="8"/>
    <col width="13.83203125" customWidth="1" style="486" min="9" max="9"/>
  </cols>
  <sheetData>
    <row r="1">
      <c r="A1" t="inlineStr">
        <is>
          <t>D1: 3.60</t>
        </is>
      </c>
      <c r="B1" t="inlineStr">
        <is>
          <t>D2:83.149</t>
        </is>
      </c>
      <c r="C1" t="inlineStr">
        <is>
          <t>E1.1:180.241</t>
        </is>
      </c>
      <c r="D1" t="inlineStr">
        <is>
          <t>E1.2:264.320</t>
        </is>
      </c>
      <c r="E1" t="inlineStr">
        <is>
          <t>E1.3:341.399</t>
        </is>
      </c>
      <c r="F1" t="inlineStr">
        <is>
          <t>E1.4:419.476</t>
        </is>
      </c>
      <c r="G1" t="inlineStr">
        <is>
          <t>E2:504.568</t>
        </is>
      </c>
      <c r="H1" t="inlineStr">
        <is>
          <t>O:593.639</t>
        </is>
      </c>
      <c r="I1" t="inlineStr">
        <is>
          <t>H:659.716</t>
        </is>
      </c>
    </row>
    <row r="2" ht="16" customHeight="1" s="486" thickBot="1"/>
    <row r="3">
      <c r="A3" s="363" t="inlineStr">
        <is>
          <t>For Section D1</t>
        </is>
      </c>
      <c r="B3" s="364" t="n"/>
      <c r="C3" s="364" t="n"/>
      <c r="D3" s="364" t="n"/>
      <c r="E3" s="364" t="n"/>
      <c r="F3" s="364" t="n"/>
      <c r="G3" s="365" t="n"/>
    </row>
    <row r="4">
      <c r="A4" s="366" t="inlineStr">
        <is>
          <t>Criteria</t>
        </is>
      </c>
      <c r="B4" t="inlineStr">
        <is>
          <t>EndRow</t>
        </is>
      </c>
      <c r="C4" t="inlineStr">
        <is>
          <t>criteriaRange</t>
        </is>
      </c>
      <c r="D4" t="inlineStr">
        <is>
          <t>HightLight Cell Column</t>
        </is>
      </c>
      <c r="G4" s="367" t="n"/>
    </row>
    <row r="5">
      <c r="A5" s="366" t="inlineStr">
        <is>
          <t>crit1</t>
        </is>
      </c>
      <c r="B5" t="n">
        <v>19</v>
      </c>
      <c r="C5" t="inlineStr">
        <is>
          <t>A1:A2</t>
        </is>
      </c>
      <c r="D5" t="inlineStr">
        <is>
          <t>A</t>
        </is>
      </c>
      <c r="G5" s="367" t="n"/>
    </row>
    <row r="6">
      <c r="A6" s="366" t="inlineStr">
        <is>
          <t>crit2</t>
        </is>
      </c>
      <c r="B6" t="n">
        <v>23</v>
      </c>
      <c r="C6" t="inlineStr">
        <is>
          <t>A5:A6</t>
        </is>
      </c>
      <c r="D6" t="inlineStr">
        <is>
          <t>B</t>
        </is>
      </c>
      <c r="G6" s="367" t="n"/>
    </row>
    <row r="7">
      <c r="A7" s="366" t="inlineStr">
        <is>
          <t>crit3</t>
        </is>
      </c>
      <c r="B7" t="n">
        <v>27</v>
      </c>
      <c r="C7" t="inlineStr">
        <is>
          <t>A9:A10</t>
        </is>
      </c>
      <c r="D7" t="inlineStr">
        <is>
          <t>C</t>
        </is>
      </c>
      <c r="G7" s="367" t="n"/>
    </row>
    <row r="8">
      <c r="A8" s="366" t="inlineStr">
        <is>
          <t>crit4</t>
        </is>
      </c>
      <c r="B8" t="n">
        <v>31</v>
      </c>
      <c r="C8" t="inlineStr">
        <is>
          <t>A13:A14</t>
        </is>
      </c>
      <c r="D8" t="inlineStr">
        <is>
          <t>D</t>
        </is>
      </c>
      <c r="G8" s="367" t="n"/>
    </row>
    <row r="9">
      <c r="A9" s="366" t="inlineStr">
        <is>
          <t>crit5</t>
        </is>
      </c>
      <c r="B9" t="n">
        <v>35</v>
      </c>
      <c r="C9" t="inlineStr">
        <is>
          <t>A17:A18</t>
        </is>
      </c>
      <c r="D9" t="inlineStr">
        <is>
          <t>E</t>
        </is>
      </c>
      <c r="G9" s="367" t="n"/>
    </row>
    <row r="10">
      <c r="A10" s="366" t="inlineStr">
        <is>
          <t>crit6</t>
        </is>
      </c>
      <c r="B10" t="n">
        <v>39</v>
      </c>
      <c r="C10" t="inlineStr">
        <is>
          <t>A21:A22</t>
        </is>
      </c>
      <c r="D10" t="inlineStr">
        <is>
          <t>F</t>
        </is>
      </c>
      <c r="G10" s="367" t="n"/>
    </row>
    <row r="11">
      <c r="A11" s="366" t="inlineStr">
        <is>
          <t>crit7</t>
        </is>
      </c>
      <c r="B11" t="n">
        <v>40</v>
      </c>
      <c r="C11" t="inlineStr">
        <is>
          <t>A25:A26</t>
        </is>
      </c>
      <c r="D11" t="inlineStr">
        <is>
          <t>G</t>
        </is>
      </c>
      <c r="G11" s="367" t="n"/>
    </row>
    <row r="12">
      <c r="A12" s="366" t="n"/>
      <c r="G12" s="367" t="n"/>
    </row>
    <row r="13">
      <c r="A13" s="366" t="n"/>
      <c r="G13" s="367" t="n"/>
    </row>
    <row r="14">
      <c r="A14" s="366" t="n"/>
      <c r="G14" s="367" t="n"/>
    </row>
    <row r="15">
      <c r="A15" s="366" t="n"/>
      <c r="G15" s="367" t="n"/>
    </row>
    <row r="16">
      <c r="A16" s="366" t="n"/>
      <c r="G16" s="367" t="n"/>
    </row>
    <row r="17">
      <c r="A17" s="366" t="n"/>
      <c r="G17" s="367" t="n"/>
    </row>
    <row r="18">
      <c r="A18" s="366" t="n"/>
      <c r="G18" s="367" t="n"/>
    </row>
    <row r="19">
      <c r="A19" s="366" t="n"/>
      <c r="G19" s="367" t="n"/>
    </row>
    <row r="20">
      <c r="A20" s="366" t="inlineStr">
        <is>
          <t>Name</t>
        </is>
      </c>
      <c r="G20" s="367" t="n"/>
    </row>
    <row r="21">
      <c r="A21" s="368" t="inlineStr">
        <is>
          <t>=???????????????????????????????????????????????????*</t>
        </is>
      </c>
      <c r="G21" s="367" t="n"/>
    </row>
    <row r="22">
      <c r="A22" s="368" t="inlineStr">
        <is>
          <t xml:space="preserve">'Item Name' should be of length less than or equal to 50 characters in following row(s): </t>
        </is>
      </c>
      <c r="G22" s="367" t="n"/>
    </row>
    <row r="23">
      <c r="A23" s="366" t="n"/>
      <c r="G23" s="367" t="n"/>
    </row>
    <row r="24">
      <c r="A24" s="366" t="inlineStr">
        <is>
          <t>Unit</t>
        </is>
      </c>
      <c r="G24" s="367" t="n"/>
    </row>
    <row r="25">
      <c r="A25" s="368" t="inlineStr">
        <is>
          <t>=????????????????*</t>
        </is>
      </c>
      <c r="G25" s="367" t="n"/>
    </row>
    <row r="26">
      <c r="A26" s="368" t="inlineStr">
        <is>
          <t xml:space="preserve">'Unit of Measure' should be of length less than or equal to 15 characters in following row(s): </t>
        </is>
      </c>
      <c r="G26" s="367" t="n"/>
    </row>
    <row r="27">
      <c r="A27" s="366" t="n"/>
      <c r="G27" s="367" t="n"/>
    </row>
    <row r="28">
      <c r="A28" s="366" t="inlineStr">
        <is>
          <t>Ostock</t>
        </is>
      </c>
      <c r="G28" s="367" t="n"/>
    </row>
    <row r="29">
      <c r="A29" s="366" t="inlineStr">
        <is>
          <t>=</t>
        </is>
      </c>
      <c r="G29" s="367" t="n"/>
    </row>
    <row r="30">
      <c r="A30" s="368" t="inlineStr">
        <is>
          <t xml:space="preserve">'Opening Stock' should contain value in following row(s) : </t>
        </is>
      </c>
      <c r="G30" s="367" t="n"/>
    </row>
    <row r="31">
      <c r="A31" s="366" t="n"/>
      <c r="G31" s="367" t="n"/>
    </row>
    <row r="32">
      <c r="A32" s="366" t="inlineStr">
        <is>
          <t>Purch</t>
        </is>
      </c>
      <c r="G32" s="367" t="n"/>
    </row>
    <row r="33">
      <c r="A33" s="366" t="inlineStr">
        <is>
          <t>=</t>
        </is>
      </c>
      <c r="G33" s="367" t="n"/>
    </row>
    <row r="34">
      <c r="A34" s="368" t="inlineStr">
        <is>
          <t xml:space="preserve">'Purchase' should contain value in following row(s) : </t>
        </is>
      </c>
      <c r="G34" s="367" t="n"/>
    </row>
    <row r="35">
      <c r="A35" s="366" t="n"/>
      <c r="G35" s="367" t="n"/>
    </row>
    <row r="36">
      <c r="A36" s="366" t="inlineStr">
        <is>
          <t>Qty</t>
        </is>
      </c>
      <c r="G36" s="367" t="n"/>
    </row>
    <row r="37">
      <c r="A37" s="366" t="inlineStr">
        <is>
          <t>=</t>
        </is>
      </c>
      <c r="G37" s="367" t="n"/>
    </row>
    <row r="38">
      <c r="A38" s="368" t="inlineStr">
        <is>
          <t xml:space="preserve">'Sales Quantity' should contain value in following row(s) : </t>
        </is>
      </c>
      <c r="G38" s="367" t="n"/>
    </row>
    <row r="39">
      <c r="A39" s="368" t="n"/>
      <c r="G39" s="367" t="n"/>
    </row>
    <row r="40">
      <c r="A40" s="366" t="inlineStr">
        <is>
          <t>CStock</t>
        </is>
      </c>
      <c r="G40" s="367" t="n"/>
    </row>
    <row r="41">
      <c r="A41" s="366" t="inlineStr">
        <is>
          <t>=</t>
        </is>
      </c>
      <c r="G41" s="367" t="n"/>
    </row>
    <row r="42">
      <c r="A42" s="368" t="inlineStr">
        <is>
          <t xml:space="preserve">'Closing Stock' should contain value in following row(s) : </t>
        </is>
      </c>
      <c r="G42" s="367" t="n"/>
    </row>
    <row r="43">
      <c r="A43" s="366" t="n"/>
      <c r="G43" s="367" t="n"/>
    </row>
    <row r="44">
      <c r="A44" s="368" t="inlineStr">
        <is>
          <t>Short</t>
        </is>
      </c>
      <c r="G44" s="367" t="n"/>
    </row>
    <row r="45">
      <c r="A45" s="366" t="inlineStr">
        <is>
          <t>&lt;&gt;</t>
        </is>
      </c>
      <c r="G45" s="367" t="n"/>
    </row>
    <row r="46">
      <c r="A46" s="368" t="inlineStr">
        <is>
          <t xml:space="preserve">'Shortage / (Excess), if any' should be blank in following row(s): </t>
        </is>
      </c>
      <c r="G46" s="367" t="n"/>
    </row>
    <row r="47">
      <c r="A47" s="366" t="n"/>
      <c r="G47" s="367" t="n"/>
    </row>
    <row r="48">
      <c r="A48" s="366" t="n"/>
      <c r="G48" s="367" t="n"/>
    </row>
    <row r="49">
      <c r="A49" s="366" t="n"/>
      <c r="G49" s="367" t="n"/>
    </row>
    <row r="50">
      <c r="A50" s="366" t="n"/>
      <c r="G50" s="367" t="n"/>
    </row>
    <row r="51">
      <c r="A51" s="366" t="n"/>
      <c r="G51" s="367" t="n"/>
    </row>
    <row r="52">
      <c r="A52" s="366" t="n"/>
      <c r="G52" s="367" t="n"/>
    </row>
    <row r="53">
      <c r="A53" s="366" t="n"/>
      <c r="G53" s="367" t="n"/>
    </row>
    <row r="54">
      <c r="A54" s="366" t="n"/>
      <c r="G54" s="367" t="n"/>
    </row>
    <row r="55">
      <c r="A55" s="366" t="n"/>
      <c r="G55" s="367" t="n"/>
    </row>
    <row r="56">
      <c r="A56" s="366" t="n"/>
      <c r="G56" s="367" t="n"/>
    </row>
    <row r="57">
      <c r="A57" s="366" t="n"/>
      <c r="G57" s="367" t="n"/>
    </row>
    <row r="58">
      <c r="A58" s="366" t="n"/>
      <c r="G58" s="367" t="n"/>
    </row>
    <row r="59">
      <c r="A59" s="373" t="inlineStr">
        <is>
          <t>Name</t>
        </is>
      </c>
      <c r="B59" s="372" t="inlineStr">
        <is>
          <t>Unit</t>
        </is>
      </c>
      <c r="C59" s="372" t="inlineStr">
        <is>
          <t>OStock</t>
        </is>
      </c>
      <c r="D59" s="372" t="inlineStr">
        <is>
          <t>Purch</t>
        </is>
      </c>
      <c r="E59" s="372" t="inlineStr">
        <is>
          <t>Qty</t>
        </is>
      </c>
      <c r="F59" s="372" t="inlineStr">
        <is>
          <t>CStock</t>
        </is>
      </c>
      <c r="G59" s="374" t="inlineStr">
        <is>
          <t>Short</t>
        </is>
      </c>
    </row>
    <row r="60" ht="16.5" customHeight="1" s="486" thickBot="1">
      <c r="A60" s="492" t="inlineStr">
        <is>
          <t>D1 Ends Here</t>
        </is>
      </c>
      <c r="B60" s="493" t="n"/>
      <c r="C60" s="493" t="n"/>
      <c r="D60" s="493" t="n"/>
      <c r="E60" s="493" t="n"/>
      <c r="F60" s="493" t="n"/>
      <c r="G60" s="494" t="n"/>
    </row>
    <row r="82" ht="16" customHeight="1" s="486" thickBot="1"/>
    <row r="83">
      <c r="A83" s="363" t="inlineStr">
        <is>
          <t>For Section D2</t>
        </is>
      </c>
      <c r="B83" s="364" t="n"/>
      <c r="C83" s="364" t="n"/>
      <c r="D83" s="364" t="n"/>
      <c r="E83" s="364" t="n"/>
      <c r="F83" s="364" t="n"/>
      <c r="G83" s="364" t="n"/>
      <c r="H83" s="364" t="n"/>
      <c r="I83" s="364" t="n"/>
      <c r="J83" s="365" t="n"/>
    </row>
    <row r="84">
      <c r="A84" s="366" t="inlineStr">
        <is>
          <t>Criteria</t>
        </is>
      </c>
      <c r="B84" t="inlineStr">
        <is>
          <t>EndRow</t>
        </is>
      </c>
      <c r="C84" t="inlineStr">
        <is>
          <t>criteriaRange</t>
        </is>
      </c>
      <c r="D84" t="inlineStr">
        <is>
          <t>HightLight Cell Column</t>
        </is>
      </c>
      <c r="J84" s="367" t="n"/>
    </row>
    <row r="85">
      <c r="A85" s="366" t="inlineStr">
        <is>
          <t>crit1</t>
        </is>
      </c>
      <c r="B85" t="n">
        <v>99</v>
      </c>
      <c r="C85" t="inlineStr">
        <is>
          <t>A1:A2</t>
        </is>
      </c>
      <c r="D85" t="inlineStr">
        <is>
          <t>A</t>
        </is>
      </c>
      <c r="J85" s="367" t="n"/>
    </row>
    <row r="86">
      <c r="A86" s="366" t="inlineStr">
        <is>
          <t>crit2</t>
        </is>
      </c>
      <c r="B86" t="n">
        <v>103</v>
      </c>
      <c r="C86" t="inlineStr">
        <is>
          <t>A5:A6</t>
        </is>
      </c>
      <c r="D86" t="inlineStr">
        <is>
          <t>B</t>
        </is>
      </c>
      <c r="J86" s="367" t="n"/>
    </row>
    <row r="87">
      <c r="A87" s="366" t="inlineStr">
        <is>
          <t>crit3</t>
        </is>
      </c>
      <c r="B87" t="n">
        <v>107</v>
      </c>
      <c r="C87" t="inlineStr">
        <is>
          <t>A9:A10</t>
        </is>
      </c>
      <c r="D87" t="inlineStr">
        <is>
          <t>C</t>
        </is>
      </c>
      <c r="J87" s="367" t="n"/>
    </row>
    <row r="88">
      <c r="A88" s="366" t="inlineStr">
        <is>
          <t>crit4</t>
        </is>
      </c>
      <c r="B88" t="n">
        <v>111</v>
      </c>
      <c r="C88" t="inlineStr">
        <is>
          <t>A13:A14</t>
        </is>
      </c>
      <c r="D88" t="inlineStr">
        <is>
          <t>D</t>
        </is>
      </c>
      <c r="J88" s="367" t="n"/>
    </row>
    <row r="89">
      <c r="A89" s="366" t="inlineStr">
        <is>
          <t>crit5</t>
        </is>
      </c>
      <c r="B89" t="n">
        <v>115</v>
      </c>
      <c r="C89" t="inlineStr">
        <is>
          <t>A17:A18</t>
        </is>
      </c>
      <c r="D89" t="inlineStr">
        <is>
          <t>E</t>
        </is>
      </c>
      <c r="J89" s="367" t="n"/>
    </row>
    <row r="90">
      <c r="A90" s="366" t="inlineStr">
        <is>
          <t>crit6</t>
        </is>
      </c>
      <c r="B90" t="n">
        <v>119</v>
      </c>
      <c r="C90" t="inlineStr">
        <is>
          <t>A21:A22</t>
        </is>
      </c>
      <c r="D90" t="inlineStr">
        <is>
          <t>F</t>
        </is>
      </c>
      <c r="J90" s="367" t="n"/>
    </row>
    <row r="91">
      <c r="A91" s="366" t="inlineStr">
        <is>
          <t>crit7</t>
        </is>
      </c>
      <c r="B91" t="n">
        <v>123</v>
      </c>
      <c r="C91" t="inlineStr">
        <is>
          <t>A25:A26</t>
        </is>
      </c>
      <c r="D91" t="inlineStr">
        <is>
          <t>G</t>
        </is>
      </c>
      <c r="J91" s="367" t="n"/>
    </row>
    <row r="92">
      <c r="A92" s="366" t="inlineStr">
        <is>
          <t>crit8</t>
        </is>
      </c>
      <c r="B92" t="n">
        <v>127</v>
      </c>
      <c r="C92" t="inlineStr">
        <is>
          <t>A29:A30</t>
        </is>
      </c>
      <c r="D92" t="inlineStr">
        <is>
          <t>H</t>
        </is>
      </c>
      <c r="J92" s="367" t="n"/>
    </row>
    <row r="93">
      <c r="A93" s="366" t="inlineStr">
        <is>
          <t>crit9</t>
        </is>
      </c>
      <c r="B93" t="n">
        <v>132</v>
      </c>
      <c r="C93" t="inlineStr">
        <is>
          <t>A33:A34</t>
        </is>
      </c>
      <c r="D93" t="inlineStr">
        <is>
          <t>I</t>
        </is>
      </c>
      <c r="J93" s="367" t="n"/>
    </row>
    <row r="94">
      <c r="A94" s="366" t="inlineStr">
        <is>
          <t>crit10</t>
        </is>
      </c>
      <c r="B94" t="n">
        <v>136</v>
      </c>
      <c r="C94" t="inlineStr">
        <is>
          <t>A37:B39</t>
        </is>
      </c>
      <c r="D94" t="inlineStr">
        <is>
          <t>J</t>
        </is>
      </c>
      <c r="J94" s="367" t="n"/>
    </row>
    <row r="95">
      <c r="A95" s="366" t="n"/>
      <c r="J95" s="367" t="n"/>
    </row>
    <row r="96">
      <c r="A96" s="366" t="n"/>
      <c r="J96" s="367" t="n"/>
    </row>
    <row r="97">
      <c r="A97" s="366" t="n"/>
      <c r="J97" s="367" t="n"/>
    </row>
    <row r="98">
      <c r="A98" s="366" t="n"/>
      <c r="J98" s="367" t="n"/>
    </row>
    <row r="99">
      <c r="A99" s="366" t="n"/>
      <c r="J99" s="367" t="n"/>
    </row>
    <row r="100">
      <c r="A100" s="366" t="inlineStr">
        <is>
          <t>Name</t>
        </is>
      </c>
      <c r="J100" s="367" t="n"/>
    </row>
    <row r="101">
      <c r="A101" s="368" t="inlineStr">
        <is>
          <t>=???????????????????????????????????????????????????*</t>
        </is>
      </c>
      <c r="J101" s="367" t="n"/>
    </row>
    <row r="102">
      <c r="A102" s="368" t="inlineStr">
        <is>
          <t xml:space="preserve">'Item Name' should be of length less than or equal to 50 characters in following row(s): </t>
        </is>
      </c>
      <c r="J102" s="367" t="n"/>
    </row>
    <row r="103">
      <c r="A103" s="366" t="n"/>
      <c r="J103" s="367" t="n"/>
    </row>
    <row r="104">
      <c r="A104" s="366" t="inlineStr">
        <is>
          <t>Unit</t>
        </is>
      </c>
      <c r="J104" s="367" t="n"/>
    </row>
    <row r="105">
      <c r="A105" s="368" t="inlineStr">
        <is>
          <t>=????????????????*</t>
        </is>
      </c>
      <c r="J105" s="367" t="n"/>
    </row>
    <row r="106">
      <c r="A106" s="368" t="inlineStr">
        <is>
          <t xml:space="preserve">'Unit of Measure' should be of length less than or equal to 15 characters in following row(s): </t>
        </is>
      </c>
      <c r="J106" s="367" t="n"/>
    </row>
    <row r="107">
      <c r="A107" s="366" t="n"/>
      <c r="J107" s="367" t="n"/>
    </row>
    <row r="108">
      <c r="A108" s="366" t="inlineStr">
        <is>
          <t>Ostock</t>
        </is>
      </c>
      <c r="J108" s="367" t="n"/>
    </row>
    <row r="109">
      <c r="A109" s="366" t="inlineStr">
        <is>
          <t>=</t>
        </is>
      </c>
      <c r="J109" s="367" t="n"/>
    </row>
    <row r="110">
      <c r="A110" s="368" t="inlineStr">
        <is>
          <t xml:space="preserve">'Opening Stock' should contain value in following row(s) : </t>
        </is>
      </c>
      <c r="J110" s="367" t="n"/>
    </row>
    <row r="111">
      <c r="A111" s="366" t="n"/>
      <c r="J111" s="367" t="n"/>
    </row>
    <row r="112">
      <c r="A112" s="366" t="inlineStr">
        <is>
          <t>Purch</t>
        </is>
      </c>
      <c r="J112" s="367" t="n"/>
    </row>
    <row r="113">
      <c r="A113" s="366" t="inlineStr">
        <is>
          <t>=</t>
        </is>
      </c>
      <c r="J113" s="367" t="n"/>
    </row>
    <row r="114">
      <c r="A114" s="368" t="inlineStr">
        <is>
          <t xml:space="preserve">'Purchase' should contain value in following row(s) : </t>
        </is>
      </c>
      <c r="J114" s="367" t="n"/>
    </row>
    <row r="115">
      <c r="A115" s="366" t="n"/>
      <c r="J115" s="367" t="n"/>
    </row>
    <row r="116">
      <c r="A116" s="366" t="inlineStr">
        <is>
          <t>Consumption</t>
        </is>
      </c>
      <c r="J116" s="367" t="n"/>
    </row>
    <row r="117">
      <c r="A117" s="366" t="inlineStr">
        <is>
          <t>=</t>
        </is>
      </c>
      <c r="J117" s="367" t="n"/>
    </row>
    <row r="118">
      <c r="A118" s="368" t="inlineStr">
        <is>
          <t xml:space="preserve">'Consumption' should contain value in following row(s) : </t>
        </is>
      </c>
      <c r="J118" s="367" t="n"/>
    </row>
    <row r="119">
      <c r="A119" s="366" t="n"/>
      <c r="J119" s="367" t="n"/>
    </row>
    <row r="120">
      <c r="A120" s="366" t="inlineStr">
        <is>
          <t>Qty</t>
        </is>
      </c>
      <c r="J120" s="367" t="n"/>
    </row>
    <row r="121">
      <c r="A121" s="366" t="inlineStr">
        <is>
          <t>=</t>
        </is>
      </c>
      <c r="J121" s="367" t="n"/>
    </row>
    <row r="122">
      <c r="A122" s="368" t="inlineStr">
        <is>
          <t xml:space="preserve">'Sales Quantity' should contain value in following row(s) : </t>
        </is>
      </c>
      <c r="J122" s="367" t="n"/>
    </row>
    <row r="123">
      <c r="A123" s="368" t="n"/>
      <c r="J123" s="367" t="n"/>
    </row>
    <row r="124">
      <c r="A124" s="366" t="inlineStr">
        <is>
          <t>CStock</t>
        </is>
      </c>
      <c r="J124" s="367" t="n"/>
    </row>
    <row r="125">
      <c r="A125" s="366" t="inlineStr">
        <is>
          <t>=</t>
        </is>
      </c>
      <c r="J125" s="367" t="n"/>
    </row>
    <row r="126">
      <c r="A126" s="368" t="inlineStr">
        <is>
          <t xml:space="preserve">'Closing Stock' should contain value in following row(s) : </t>
        </is>
      </c>
      <c r="J126" s="367" t="n"/>
    </row>
    <row r="127">
      <c r="A127" s="366" t="n"/>
      <c r="J127" s="367" t="n"/>
    </row>
    <row r="128">
      <c r="A128" s="366" t="inlineStr">
        <is>
          <t>Yield</t>
        </is>
      </c>
      <c r="J128" s="367" t="n"/>
    </row>
    <row r="129">
      <c r="A129" s="366" t="inlineStr">
        <is>
          <t>=</t>
        </is>
      </c>
      <c r="J129" s="367" t="n"/>
    </row>
    <row r="130">
      <c r="A130" s="368" t="inlineStr">
        <is>
          <t xml:space="preserve">'Yield Finished Product in Units' should contain value in following row(s) : </t>
        </is>
      </c>
      <c r="J130" s="367" t="n"/>
    </row>
    <row r="131">
      <c r="A131" s="366" t="n"/>
      <c r="J131" s="367" t="n"/>
    </row>
    <row r="132">
      <c r="A132" s="366" t="inlineStr">
        <is>
          <t>Perc</t>
        </is>
      </c>
      <c r="B132" t="inlineStr">
        <is>
          <t>Perc</t>
        </is>
      </c>
      <c r="J132" s="367" t="n"/>
    </row>
    <row r="133">
      <c r="A133" s="366" t="inlineStr">
        <is>
          <t>&lt;=0</t>
        </is>
      </c>
      <c r="J133" s="367" t="n"/>
    </row>
    <row r="134">
      <c r="A134" s="366" t="n"/>
      <c r="B134" t="inlineStr">
        <is>
          <t>&gt;=100</t>
        </is>
      </c>
      <c r="J134" s="367" t="n"/>
    </row>
    <row r="135">
      <c r="A135" s="368" t="inlineStr">
        <is>
          <t xml:space="preserve">'% Yield' contains invalid value in following row(s): </t>
        </is>
      </c>
      <c r="J135" s="367" t="n"/>
    </row>
    <row r="136">
      <c r="A136" s="366" t="n"/>
      <c r="J136" s="367" t="n"/>
    </row>
    <row r="137">
      <c r="A137" s="368" t="inlineStr">
        <is>
          <t>Short</t>
        </is>
      </c>
      <c r="J137" s="367" t="n"/>
    </row>
    <row r="138">
      <c r="A138" s="366" t="inlineStr">
        <is>
          <t>&lt;&gt;</t>
        </is>
      </c>
      <c r="J138" s="367" t="n"/>
    </row>
    <row r="139">
      <c r="A139" s="368" t="inlineStr">
        <is>
          <t xml:space="preserve">'Shortage / (Excess), if any' should be blank in following row(s): </t>
        </is>
      </c>
      <c r="J139" s="367" t="n"/>
    </row>
    <row r="140">
      <c r="A140" s="366" t="n"/>
      <c r="J140" s="367" t="n"/>
    </row>
    <row r="141">
      <c r="A141" s="366" t="n"/>
      <c r="J141" s="367" t="n"/>
    </row>
    <row r="142">
      <c r="A142" s="366" t="n"/>
      <c r="J142" s="367" t="n"/>
    </row>
    <row r="143">
      <c r="A143" s="366" t="n"/>
      <c r="J143" s="367" t="n"/>
    </row>
    <row r="144">
      <c r="A144" s="366" t="n"/>
      <c r="J144" s="367" t="n"/>
    </row>
    <row r="145">
      <c r="A145" s="366" t="n"/>
      <c r="J145" s="367" t="n"/>
    </row>
    <row r="146">
      <c r="A146" s="366" t="n"/>
      <c r="J146" s="367" t="n"/>
    </row>
    <row r="147">
      <c r="A147" s="366" t="n"/>
      <c r="J147" s="367" t="n"/>
    </row>
    <row r="148">
      <c r="A148" s="373" t="inlineStr">
        <is>
          <t>Name</t>
        </is>
      </c>
      <c r="B148" s="372" t="inlineStr">
        <is>
          <t>Unit</t>
        </is>
      </c>
      <c r="C148" s="372" t="inlineStr">
        <is>
          <t>OStock</t>
        </is>
      </c>
      <c r="D148" s="372" t="inlineStr">
        <is>
          <t>Purch</t>
        </is>
      </c>
      <c r="E148" s="372" t="inlineStr">
        <is>
          <t>Consumption</t>
        </is>
      </c>
      <c r="F148" s="372" t="inlineStr">
        <is>
          <t>Qty</t>
        </is>
      </c>
      <c r="G148" s="372" t="inlineStr">
        <is>
          <t>CStock</t>
        </is>
      </c>
      <c r="H148" s="372" t="inlineStr">
        <is>
          <t>Yield</t>
        </is>
      </c>
      <c r="I148" s="372" t="inlineStr">
        <is>
          <t>Perc</t>
        </is>
      </c>
      <c r="J148" s="374" t="inlineStr">
        <is>
          <t>Short</t>
        </is>
      </c>
    </row>
    <row r="149" ht="16.5" customHeight="1" s="486" thickBot="1">
      <c r="A149" s="492" t="inlineStr">
        <is>
          <t>D2 Ends Here</t>
        </is>
      </c>
      <c r="B149" s="493" t="n"/>
      <c r="C149" s="493" t="n"/>
      <c r="D149" s="493" t="n"/>
      <c r="E149" s="493" t="n"/>
      <c r="F149" s="493" t="n"/>
      <c r="G149" s="493" t="n"/>
      <c r="H149" s="493" t="n"/>
      <c r="I149" s="493" t="n"/>
      <c r="J149" s="494" t="n"/>
    </row>
    <row r="179" ht="16" customHeight="1" s="486" thickBot="1"/>
    <row r="180">
      <c r="A180" s="363" t="inlineStr">
        <is>
          <t xml:space="preserve">FOR Section E1 Part 1 </t>
        </is>
      </c>
      <c r="B180" s="364" t="n"/>
      <c r="C180" s="364" t="n"/>
      <c r="D180" s="364" t="n"/>
      <c r="E180" s="364" t="n"/>
      <c r="F180" s="364" t="n"/>
      <c r="G180" s="364" t="n"/>
      <c r="H180" s="365" t="n"/>
    </row>
    <row r="181">
      <c r="A181" s="366" t="inlineStr">
        <is>
          <t>Criteria</t>
        </is>
      </c>
      <c r="B181" t="inlineStr">
        <is>
          <t>EndRow</t>
        </is>
      </c>
      <c r="C181" t="inlineStr">
        <is>
          <t>criteriaRange</t>
        </is>
      </c>
      <c r="D181" t="inlineStr">
        <is>
          <t>HightLight Cell Column</t>
        </is>
      </c>
      <c r="H181" s="367" t="n"/>
    </row>
    <row r="182">
      <c r="A182" s="366" t="inlineStr">
        <is>
          <t>crit1</t>
        </is>
      </c>
      <c r="B182" t="n">
        <v>199</v>
      </c>
      <c r="C182" t="inlineStr">
        <is>
          <t>A1:A2</t>
        </is>
      </c>
      <c r="D182" t="inlineStr">
        <is>
          <t>A</t>
        </is>
      </c>
      <c r="H182" s="367" t="n"/>
    </row>
    <row r="183">
      <c r="A183" s="366" t="inlineStr">
        <is>
          <t>crit2</t>
        </is>
      </c>
      <c r="B183" t="n">
        <v>203</v>
      </c>
      <c r="C183" t="inlineStr">
        <is>
          <t>A5:A6</t>
        </is>
      </c>
      <c r="D183" t="inlineStr">
        <is>
          <t>C</t>
        </is>
      </c>
      <c r="H183" s="367" t="n"/>
    </row>
    <row r="184">
      <c r="A184" s="366" t="inlineStr">
        <is>
          <t>crit3</t>
        </is>
      </c>
      <c r="B184" t="n">
        <v>207</v>
      </c>
      <c r="C184" t="inlineStr">
        <is>
          <t>A9:A10</t>
        </is>
      </c>
      <c r="D184" t="inlineStr">
        <is>
          <t>E</t>
        </is>
      </c>
      <c r="H184" s="367" t="n"/>
    </row>
    <row r="185">
      <c r="A185" s="366" t="inlineStr">
        <is>
          <t>crit4</t>
        </is>
      </c>
      <c r="B185" t="n">
        <v>211</v>
      </c>
      <c r="C185" t="inlineStr">
        <is>
          <t>A13:B14</t>
        </is>
      </c>
      <c r="D185" t="inlineStr">
        <is>
          <t>F</t>
        </is>
      </c>
      <c r="H185" s="367" t="n"/>
    </row>
    <row r="186">
      <c r="A186" s="366" t="inlineStr">
        <is>
          <t>crit5</t>
        </is>
      </c>
      <c r="B186" t="n">
        <v>215</v>
      </c>
      <c r="C186" t="inlineStr">
        <is>
          <t>A17:A18</t>
        </is>
      </c>
      <c r="D186" t="inlineStr">
        <is>
          <t>G</t>
        </is>
      </c>
      <c r="H186" s="367" t="n"/>
    </row>
    <row r="187">
      <c r="A187" s="366" t="inlineStr">
        <is>
          <t>crit6</t>
        </is>
      </c>
      <c r="B187" t="n">
        <v>219</v>
      </c>
      <c r="C187" t="inlineStr">
        <is>
          <t>A21:D22</t>
        </is>
      </c>
      <c r="D187" t="inlineStr">
        <is>
          <t>H</t>
        </is>
      </c>
      <c r="H187" s="367" t="n"/>
    </row>
    <row r="188">
      <c r="A188" s="366" t="inlineStr">
        <is>
          <t>crit7</t>
        </is>
      </c>
      <c r="B188" t="n">
        <v>223</v>
      </c>
      <c r="C188" t="inlineStr">
        <is>
          <t>A25:A26</t>
        </is>
      </c>
      <c r="D188" t="inlineStr">
        <is>
          <t>I</t>
        </is>
      </c>
      <c r="H188" s="367" t="n"/>
    </row>
    <row r="189">
      <c r="A189" s="366" t="inlineStr">
        <is>
          <t>crit8</t>
        </is>
      </c>
      <c r="B189" t="n">
        <v>227</v>
      </c>
      <c r="C189" t="inlineStr">
        <is>
          <t>A29:A30</t>
        </is>
      </c>
      <c r="D189" t="inlineStr">
        <is>
          <t>J</t>
        </is>
      </c>
      <c r="H189" s="367" t="n"/>
    </row>
    <row r="190">
      <c r="A190" s="366" t="inlineStr">
        <is>
          <t>cri9</t>
        </is>
      </c>
      <c r="B190" t="n">
        <v>231</v>
      </c>
      <c r="C190" t="inlineStr">
        <is>
          <t>A33:A34</t>
        </is>
      </c>
      <c r="D190" t="inlineStr">
        <is>
          <t>A</t>
        </is>
      </c>
      <c r="H190" s="367" t="n"/>
    </row>
    <row r="191">
      <c r="A191" s="366" t="inlineStr">
        <is>
          <t>cri10</t>
        </is>
      </c>
      <c r="B191" t="n">
        <v>235</v>
      </c>
      <c r="C191" t="inlineStr">
        <is>
          <t>A37:A38</t>
        </is>
      </c>
      <c r="D191" t="inlineStr">
        <is>
          <t>D</t>
        </is>
      </c>
      <c r="H191" s="367" t="n"/>
    </row>
    <row r="192">
      <c r="A192" s="366" t="n"/>
      <c r="H192" s="367" t="n"/>
    </row>
    <row r="193">
      <c r="A193" s="366" t="n"/>
      <c r="H193" s="367" t="n"/>
    </row>
    <row r="194">
      <c r="A194" s="366" t="n"/>
      <c r="H194" s="367" t="n"/>
    </row>
    <row r="195">
      <c r="A195" s="366" t="n"/>
      <c r="H195" s="367" t="n"/>
    </row>
    <row r="196">
      <c r="A196" s="366" t="n"/>
      <c r="H196" s="367" t="n"/>
    </row>
    <row r="197">
      <c r="A197" s="366" t="n"/>
      <c r="H197" s="367" t="n"/>
    </row>
    <row r="198">
      <c r="A198" s="366" t="inlineStr">
        <is>
          <t>Item</t>
        </is>
      </c>
      <c r="H198" s="367" t="n"/>
    </row>
    <row r="199">
      <c r="A199" s="366">
        <f>"=???????????????????????????????????????????????????*"</f>
        <v/>
      </c>
      <c r="H199" s="367" t="n"/>
    </row>
    <row r="200">
      <c r="A200" s="368" t="inlineStr">
        <is>
          <t xml:space="preserve">'Item should be of length less than or equal to 50 characters in row(s): </t>
        </is>
      </c>
      <c r="H200" s="367" t="n"/>
    </row>
    <row r="201">
      <c r="A201" s="366" t="n"/>
      <c r="H201" s="367" t="n"/>
    </row>
    <row r="202">
      <c r="A202" s="366" t="inlineStr">
        <is>
          <t>ItemDesc</t>
        </is>
      </c>
      <c r="H202" s="367" t="n"/>
    </row>
    <row r="203">
      <c r="A203" s="366">
        <f>"=???????????????????????????????????????????????????*"</f>
        <v/>
      </c>
      <c r="H203" s="367" t="n"/>
    </row>
    <row r="204">
      <c r="A204" s="368" t="inlineStr">
        <is>
          <t xml:space="preserve">'Item Description should be of length less than or equal to 50 characters in row(s): </t>
        </is>
      </c>
      <c r="H204" s="367" t="n"/>
    </row>
    <row r="205">
      <c r="A205" s="366" t="n"/>
      <c r="H205" s="367" t="n"/>
    </row>
    <row r="206">
      <c r="A206" s="366" t="inlineStr">
        <is>
          <t>Model</t>
        </is>
      </c>
      <c r="H206" s="367" t="n"/>
    </row>
    <row r="207">
      <c r="A207" s="366">
        <f>"=???????????????????????????????????????????????????*"</f>
        <v/>
      </c>
      <c r="H207" s="367" t="n"/>
    </row>
    <row r="208">
      <c r="A208" s="368" t="inlineStr">
        <is>
          <t xml:space="preserve">'Model should be of length less than or equal to 50 characters in row(s): </t>
        </is>
      </c>
      <c r="H208" s="367" t="n"/>
    </row>
    <row r="209">
      <c r="A209" s="366" t="n"/>
      <c r="H209" s="367" t="n"/>
    </row>
    <row r="210">
      <c r="A210" s="366" t="inlineStr">
        <is>
          <t>SerialNumber</t>
        </is>
      </c>
      <c r="H210" s="367" t="n"/>
    </row>
    <row r="211">
      <c r="A211" s="366">
        <f>"=???????????????????????????????????????????????????*"</f>
        <v/>
      </c>
      <c r="H211" s="367" t="n"/>
    </row>
    <row r="212">
      <c r="A212" s="368" t="inlineStr">
        <is>
          <t xml:space="preserve">'Serial Number should be of length less than or equal to 50 characters in row(s): </t>
        </is>
      </c>
      <c r="H212" s="367" t="n"/>
    </row>
    <row r="213">
      <c r="A213" s="366" t="n"/>
      <c r="H213" s="367" t="n"/>
    </row>
    <row r="214">
      <c r="A214" s="366" t="inlineStr">
        <is>
          <t>Date</t>
        </is>
      </c>
      <c r="H214" s="367" t="n"/>
    </row>
    <row r="215">
      <c r="A215" s="368" t="inlineStr">
        <is>
          <t>=???????????*</t>
        </is>
      </c>
      <c r="H215" s="367" t="n"/>
    </row>
    <row r="216">
      <c r="A216" s="368" t="inlineStr">
        <is>
          <t>"Please enter date value in dd/mm/yyyy format.</t>
        </is>
      </c>
      <c r="H216" s="367" t="n"/>
    </row>
    <row r="217">
      <c r="A217" s="366" t="n"/>
      <c r="H217" s="367" t="n"/>
    </row>
    <row r="218">
      <c r="A218" s="366" t="inlineStr">
        <is>
          <t>Location</t>
        </is>
      </c>
      <c r="B218" t="inlineStr">
        <is>
          <t>Location</t>
        </is>
      </c>
      <c r="C218" t="inlineStr">
        <is>
          <t>Location</t>
        </is>
      </c>
      <c r="D218" t="inlineStr">
        <is>
          <t>Location</t>
        </is>
      </c>
      <c r="H218" s="367" t="n"/>
    </row>
    <row r="219">
      <c r="A219" s="366" t="inlineStr">
        <is>
          <t>&lt;&gt;Outside City of Nairobi, Municipalities of Mombasa and Kisumu with investment cost equals to or more than Kshs 200 million (150%)</t>
        </is>
      </c>
      <c r="B219" t="inlineStr">
        <is>
          <t>&lt;&gt;Outside City of Nairobi, Municipalities of Mombasa and Kisumu with investment cost Less than Kshs 200 million (100%)</t>
        </is>
      </c>
      <c r="C219" t="inlineStr">
        <is>
          <t>&lt;&gt;Outside the Municipalities of Nairobi and Mombasa (100%)</t>
        </is>
      </c>
      <c r="D219" t="inlineStr">
        <is>
          <t>&lt;&gt;Within Municipality of Nairobi or Mombasa (100%)</t>
        </is>
      </c>
      <c r="H219" s="367" t="n"/>
    </row>
    <row r="220">
      <c r="A220" s="368" t="inlineStr">
        <is>
          <t xml:space="preserve">'Location' contains invalid value in following row(s) : </t>
        </is>
      </c>
      <c r="H220" s="367" t="n"/>
    </row>
    <row r="221">
      <c r="A221" s="366" t="n"/>
      <c r="H221" s="367" t="n"/>
    </row>
    <row r="222">
      <c r="A222" s="366" t="inlineStr">
        <is>
          <t>Cost</t>
        </is>
      </c>
      <c r="H222" s="367" t="n"/>
    </row>
    <row r="223">
      <c r="A223" s="366" t="inlineStr">
        <is>
          <t>=</t>
        </is>
      </c>
      <c r="H223" s="367" t="n"/>
    </row>
    <row r="224">
      <c r="A224" s="368" t="inlineStr">
        <is>
          <t xml:space="preserve">Cost' should contain value in following row(s) : </t>
        </is>
      </c>
      <c r="H224" s="367" t="n"/>
    </row>
    <row r="225">
      <c r="A225" s="366" t="n"/>
      <c r="H225" s="367" t="n"/>
    </row>
    <row r="226">
      <c r="A226" s="366" t="inlineStr">
        <is>
          <t>Investment</t>
        </is>
      </c>
      <c r="H226" s="367" t="n"/>
    </row>
    <row r="227">
      <c r="A227" s="366" t="inlineStr">
        <is>
          <t>=</t>
        </is>
      </c>
      <c r="H227" s="367" t="n"/>
    </row>
    <row r="228">
      <c r="A228" s="368" t="inlineStr">
        <is>
          <t xml:space="preserve">Investment Deduction' should contain value in following row(s) : </t>
        </is>
      </c>
      <c r="H228" s="367" t="n"/>
    </row>
    <row r="229">
      <c r="A229" s="366" t="n"/>
      <c r="H229" s="367" t="n"/>
    </row>
    <row r="230">
      <c r="A230" s="366" t="inlineStr">
        <is>
          <t>ItemCat</t>
        </is>
      </c>
      <c r="H230" s="367" t="n"/>
    </row>
    <row r="231">
      <c r="A231" s="366" t="inlineStr">
        <is>
          <t>&lt;&gt;</t>
        </is>
      </c>
      <c r="H231" s="367" t="n"/>
    </row>
    <row r="232">
      <c r="A232" s="368" t="inlineStr">
        <is>
          <t>'Item Category' should not contain any value in following row(s) :</t>
        </is>
      </c>
      <c r="H232" s="367" t="n"/>
    </row>
    <row r="233">
      <c r="A233" s="368" t="n"/>
      <c r="H233" s="367" t="n"/>
    </row>
    <row r="234">
      <c r="A234" s="368" t="inlineStr">
        <is>
          <t>ItemDescCat</t>
        </is>
      </c>
      <c r="H234" s="367" t="n"/>
    </row>
    <row r="235">
      <c r="A235" s="368" t="inlineStr">
        <is>
          <t>&lt;&gt;</t>
        </is>
      </c>
      <c r="H235" s="367" t="n"/>
    </row>
    <row r="236">
      <c r="A236" s="368" t="inlineStr">
        <is>
          <t>'Item Description should not contain any value in following row(s):</t>
        </is>
      </c>
      <c r="H236" s="367" t="n"/>
    </row>
    <row r="237">
      <c r="A237" s="368" t="n"/>
      <c r="H237" s="367" t="n"/>
    </row>
    <row r="238">
      <c r="A238" s="368" t="n"/>
      <c r="H238" s="367" t="n"/>
    </row>
    <row r="239">
      <c r="A239" s="366" t="n"/>
      <c r="H239" s="367" t="n"/>
    </row>
    <row r="240">
      <c r="A240" s="372" t="inlineStr">
        <is>
          <t>Item</t>
        </is>
      </c>
      <c r="B240" s="372" t="inlineStr">
        <is>
          <t>ItemCat</t>
        </is>
      </c>
      <c r="C240" s="372" t="inlineStr">
        <is>
          <t>ItemDesc</t>
        </is>
      </c>
      <c r="D240" s="374" t="inlineStr">
        <is>
          <t>ItemDescCat</t>
        </is>
      </c>
      <c r="E240" s="372" t="inlineStr">
        <is>
          <t>Model</t>
        </is>
      </c>
      <c r="F240" s="372" t="inlineStr">
        <is>
          <t>SerailNumber</t>
        </is>
      </c>
      <c r="G240" s="372" t="inlineStr">
        <is>
          <t>Date</t>
        </is>
      </c>
      <c r="H240" s="374" t="inlineStr">
        <is>
          <t>Location</t>
        </is>
      </c>
      <c r="I240" s="372" t="inlineStr">
        <is>
          <t>Cost</t>
        </is>
      </c>
      <c r="J240" s="410" t="inlineStr">
        <is>
          <t>Investment</t>
        </is>
      </c>
    </row>
    <row r="241" ht="17.25" customHeight="1" s="486" thickBot="1">
      <c r="A241" s="492" t="inlineStr">
        <is>
          <t>E1 Part1 Ends Here</t>
        </is>
      </c>
      <c r="B241" s="493" t="n"/>
      <c r="C241" s="493" t="n"/>
      <c r="D241" s="493" t="n"/>
      <c r="E241" s="493" t="n"/>
      <c r="F241" s="493" t="n"/>
      <c r="G241" s="493" t="n"/>
      <c r="H241" s="493" t="n"/>
      <c r="I241" s="493" t="n"/>
      <c r="J241" s="494" t="n"/>
    </row>
    <row r="257">
      <c r="A257" s="361" t="n"/>
    </row>
    <row r="262">
      <c r="A262" s="361" t="n"/>
    </row>
    <row r="263" ht="16" customHeight="1" s="486" thickBot="1"/>
    <row r="264">
      <c r="A264" s="363" t="inlineStr">
        <is>
          <t>FOR Section E1 Part 2</t>
        </is>
      </c>
      <c r="B264" s="364" t="n"/>
      <c r="C264" s="364" t="n"/>
      <c r="D264" s="364" t="n"/>
      <c r="E264" s="364" t="n"/>
      <c r="F264" s="364" t="n"/>
      <c r="G264" s="364" t="n"/>
      <c r="H264" s="364" t="n"/>
      <c r="I264" s="365" t="n"/>
    </row>
    <row r="265">
      <c r="A265" s="366" t="inlineStr">
        <is>
          <t>Criteria</t>
        </is>
      </c>
      <c r="B265" t="inlineStr">
        <is>
          <t>EndRow</t>
        </is>
      </c>
      <c r="C265" t="inlineStr">
        <is>
          <t>criteriaRange</t>
        </is>
      </c>
      <c r="D265" t="inlineStr">
        <is>
          <t>HightLight Cell Column</t>
        </is>
      </c>
      <c r="I265" s="367" t="n"/>
    </row>
    <row r="266">
      <c r="A266" s="366" t="inlineStr">
        <is>
          <t>crit1</t>
        </is>
      </c>
      <c r="B266" t="n">
        <v>279</v>
      </c>
      <c r="C266" t="inlineStr">
        <is>
          <t>A1:A2</t>
        </is>
      </c>
      <c r="D266" t="inlineStr">
        <is>
          <t>A</t>
        </is>
      </c>
      <c r="I266" s="367" t="n"/>
    </row>
    <row r="267">
      <c r="A267" s="366" t="inlineStr">
        <is>
          <t>crit2</t>
        </is>
      </c>
      <c r="B267" t="n">
        <v>283</v>
      </c>
      <c r="C267" t="inlineStr">
        <is>
          <t>A5:A6</t>
        </is>
      </c>
      <c r="D267" t="inlineStr">
        <is>
          <t>B</t>
        </is>
      </c>
      <c r="I267" s="367" t="n"/>
    </row>
    <row r="268">
      <c r="A268" s="366" t="inlineStr">
        <is>
          <t>crit3</t>
        </is>
      </c>
      <c r="B268" t="n">
        <v>287</v>
      </c>
      <c r="C268" t="inlineStr">
        <is>
          <t>A9:A10</t>
        </is>
      </c>
      <c r="D268" t="inlineStr">
        <is>
          <t>D</t>
        </is>
      </c>
      <c r="I268" s="367" t="n"/>
    </row>
    <row r="269">
      <c r="A269" s="366" t="inlineStr">
        <is>
          <t>crit4</t>
        </is>
      </c>
      <c r="B269" t="n">
        <v>291</v>
      </c>
      <c r="C269" t="inlineStr">
        <is>
          <t>A13:A14</t>
        </is>
      </c>
      <c r="D269" t="inlineStr">
        <is>
          <t>F</t>
        </is>
      </c>
      <c r="I269" s="367" t="n"/>
    </row>
    <row r="270">
      <c r="A270" s="366" t="inlineStr">
        <is>
          <t>crit5</t>
        </is>
      </c>
      <c r="B270" t="n">
        <v>295</v>
      </c>
      <c r="C270" t="inlineStr">
        <is>
          <t>A17:A18</t>
        </is>
      </c>
      <c r="D270" t="inlineStr">
        <is>
          <t>G</t>
        </is>
      </c>
      <c r="I270" s="367" t="n"/>
    </row>
    <row r="271">
      <c r="A271" s="366" t="inlineStr">
        <is>
          <t>crit6</t>
        </is>
      </c>
      <c r="B271" t="n">
        <v>299</v>
      </c>
      <c r="C271" t="inlineStr">
        <is>
          <t>A21:A22</t>
        </is>
      </c>
      <c r="D271" t="inlineStr">
        <is>
          <t>I</t>
        </is>
      </c>
      <c r="I271" s="367" t="n"/>
    </row>
    <row r="272">
      <c r="A272" s="366" t="inlineStr">
        <is>
          <t>crit7</t>
        </is>
      </c>
      <c r="B272" t="n">
        <v>303</v>
      </c>
      <c r="C272" t="inlineStr">
        <is>
          <t>A25:A26</t>
        </is>
      </c>
      <c r="D272" t="inlineStr">
        <is>
          <t>J</t>
        </is>
      </c>
      <c r="I272" s="367" t="n"/>
    </row>
    <row r="273">
      <c r="A273" s="366" t="inlineStr">
        <is>
          <t>crit8</t>
        </is>
      </c>
      <c r="B273" t="n">
        <v>307</v>
      </c>
      <c r="C273" t="inlineStr">
        <is>
          <t>A29:A30</t>
        </is>
      </c>
      <c r="D273" t="inlineStr">
        <is>
          <t>E</t>
        </is>
      </c>
      <c r="I273" s="367" t="n"/>
    </row>
    <row r="274">
      <c r="A274" s="366" t="inlineStr">
        <is>
          <t>cri9</t>
        </is>
      </c>
      <c r="B274" t="n">
        <v>311</v>
      </c>
      <c r="C274" t="inlineStr">
        <is>
          <t>A33:A34</t>
        </is>
      </c>
      <c r="D274" t="inlineStr">
        <is>
          <t>H</t>
        </is>
      </c>
      <c r="I274" s="367" t="n"/>
    </row>
    <row r="275">
      <c r="A275" s="366" t="inlineStr">
        <is>
          <t>cri10</t>
        </is>
      </c>
      <c r="B275" t="n">
        <v>315</v>
      </c>
      <c r="C275" t="inlineStr">
        <is>
          <t>A37:A38</t>
        </is>
      </c>
      <c r="D275" t="inlineStr">
        <is>
          <t>C</t>
        </is>
      </c>
      <c r="I275" s="367" t="n"/>
    </row>
    <row r="276">
      <c r="A276" s="366" t="n"/>
      <c r="I276" s="367" t="n"/>
    </row>
    <row r="277">
      <c r="A277" s="366" t="n"/>
      <c r="I277" s="367" t="n"/>
    </row>
    <row r="278">
      <c r="A278" s="366" t="inlineStr">
        <is>
          <t>Building</t>
        </is>
      </c>
      <c r="I278" s="367" t="n"/>
    </row>
    <row r="279">
      <c r="A279" s="366">
        <f>"=???????????????????????????????????????????????????*"</f>
        <v/>
      </c>
      <c r="I279" s="367" t="n"/>
    </row>
    <row r="280">
      <c r="A280" s="368" t="inlineStr">
        <is>
          <t xml:space="preserve">'Item should be of length less than or equal to 50 characters in row(s): </t>
        </is>
      </c>
      <c r="I280" s="367" t="n"/>
    </row>
    <row r="281">
      <c r="A281" s="366" t="n"/>
      <c r="I281" s="367" t="n"/>
    </row>
    <row r="282">
      <c r="A282" s="366" t="inlineStr">
        <is>
          <t>BuildCat</t>
        </is>
      </c>
      <c r="I282" s="367" t="n"/>
    </row>
    <row r="283">
      <c r="A283" s="366" t="inlineStr">
        <is>
          <t>&lt;&gt;</t>
        </is>
      </c>
      <c r="I283" s="367" t="n"/>
    </row>
    <row r="284">
      <c r="A284" s="368" t="inlineStr">
        <is>
          <t>'Building Category should not contain any value in following row(s) :</t>
        </is>
      </c>
      <c r="I284" s="367" t="n"/>
    </row>
    <row r="285">
      <c r="A285" s="366" t="n"/>
      <c r="I285" s="367" t="n"/>
    </row>
    <row r="286">
      <c r="A286" s="366" t="inlineStr">
        <is>
          <t>Date</t>
        </is>
      </c>
      <c r="I286" s="367" t="n"/>
    </row>
    <row r="287">
      <c r="A287" s="368" t="inlineStr">
        <is>
          <t>=???????????*</t>
        </is>
      </c>
      <c r="I287" s="367" t="n"/>
    </row>
    <row r="288">
      <c r="A288" s="368" t="inlineStr">
        <is>
          <t>"Please enter date value in dd/mm/yyyy format.</t>
        </is>
      </c>
      <c r="I288" s="367" t="n"/>
    </row>
    <row r="289">
      <c r="A289" s="366" t="n"/>
      <c r="I289" s="367" t="n"/>
    </row>
    <row r="290">
      <c r="A290" s="366" t="inlineStr">
        <is>
          <t>Cost</t>
        </is>
      </c>
      <c r="I290" s="367" t="n"/>
    </row>
    <row r="291">
      <c r="A291" s="366" t="inlineStr">
        <is>
          <t>=</t>
        </is>
      </c>
      <c r="I291" s="367" t="n"/>
    </row>
    <row r="292">
      <c r="A292" s="368" t="inlineStr">
        <is>
          <t xml:space="preserve">Cost' should contain value in following row(s) : </t>
        </is>
      </c>
      <c r="I292" s="367" t="n"/>
    </row>
    <row r="293">
      <c r="A293" s="366" t="n"/>
      <c r="I293" s="367" t="n"/>
    </row>
    <row r="294">
      <c r="A294" s="366" t="inlineStr">
        <is>
          <t>Investment</t>
        </is>
      </c>
      <c r="I294" s="367" t="n"/>
    </row>
    <row r="295">
      <c r="A295" s="366" t="inlineStr">
        <is>
          <t>=</t>
        </is>
      </c>
      <c r="I295" s="367" t="n"/>
    </row>
    <row r="296">
      <c r="A296" s="368" t="inlineStr">
        <is>
          <t xml:space="preserve">Investment Deduction' should contain value in following row(s) : </t>
        </is>
      </c>
      <c r="I296" s="367" t="n"/>
    </row>
    <row r="297">
      <c r="A297" s="366" t="n"/>
      <c r="I297" s="367" t="n"/>
    </row>
    <row r="298">
      <c r="A298" s="366" t="inlineStr">
        <is>
          <t>ResidualValue</t>
        </is>
      </c>
      <c r="I298" s="367" t="n"/>
    </row>
    <row r="299">
      <c r="A299" s="366" t="inlineStr">
        <is>
          <t>=</t>
        </is>
      </c>
      <c r="I299" s="367" t="n"/>
    </row>
    <row r="300">
      <c r="A300" s="368" t="inlineStr">
        <is>
          <t xml:space="preserve">Residual Value' should contain value in following row(s) : </t>
        </is>
      </c>
      <c r="I300" s="367" t="n"/>
    </row>
    <row r="301">
      <c r="A301" s="366" t="n"/>
      <c r="I301" s="367" t="n"/>
    </row>
    <row r="302">
      <c r="A302" s="366" t="inlineStr">
        <is>
          <t>CapAllowance</t>
        </is>
      </c>
      <c r="I302" s="367" t="n"/>
    </row>
    <row r="303">
      <c r="A303" s="366" t="inlineStr">
        <is>
          <t>=</t>
        </is>
      </c>
      <c r="I303" s="367" t="n"/>
    </row>
    <row r="304">
      <c r="A304" s="368" t="inlineStr">
        <is>
          <t xml:space="preserve">Capital Allowance' should contain value in following row(s) : </t>
        </is>
      </c>
      <c r="I304" s="367" t="n"/>
    </row>
    <row r="305">
      <c r="A305" s="366" t="n"/>
      <c r="I305" s="367" t="n"/>
    </row>
    <row r="306">
      <c r="A306" s="366" t="inlineStr">
        <is>
          <t>Days</t>
        </is>
      </c>
      <c r="I306" s="367" t="n"/>
    </row>
    <row r="307">
      <c r="A307" s="368" t="inlineStr">
        <is>
          <t>&lt;&gt;</t>
        </is>
      </c>
      <c r="I307" s="367" t="n"/>
    </row>
    <row r="308">
      <c r="A308" s="368" t="inlineStr">
        <is>
          <t xml:space="preserve">'Days in Use or Available for Use' should be blank in following row(s): </t>
        </is>
      </c>
      <c r="I308" s="367" t="n"/>
    </row>
    <row r="309">
      <c r="A309" s="368" t="n"/>
      <c r="I309" s="367" t="n"/>
    </row>
    <row r="310">
      <c r="A310" s="366" t="inlineStr">
        <is>
          <t>Qualifying</t>
        </is>
      </c>
      <c r="I310" s="367" t="n"/>
    </row>
    <row r="311">
      <c r="A311" s="366" t="inlineStr">
        <is>
          <t>&lt;&gt;</t>
        </is>
      </c>
      <c r="I311" s="367" t="n"/>
    </row>
    <row r="312">
      <c r="A312" s="368" t="inlineStr">
        <is>
          <t xml:space="preserve">'Qualifying Expenditure for IBD (Ksh)' should be blank in following row(s): </t>
        </is>
      </c>
      <c r="I312" s="367" t="n"/>
    </row>
    <row r="313">
      <c r="A313" s="366" t="n"/>
      <c r="I313" s="367" t="n"/>
    </row>
    <row r="314">
      <c r="A314" s="366" t="inlineStr">
        <is>
          <t>StorCap</t>
        </is>
      </c>
      <c r="I314" s="367" t="n"/>
    </row>
    <row r="315">
      <c r="A315" s="368" t="inlineStr">
        <is>
          <t>&lt;&gt;</t>
        </is>
      </c>
      <c r="I315" s="367" t="n"/>
    </row>
    <row r="316">
      <c r="A316" s="368" t="inlineStr">
        <is>
          <t>'Storage Capacity (Metric Tonnes)' should not contain any value in following row(s) :</t>
        </is>
      </c>
      <c r="I316" s="367" t="n"/>
    </row>
    <row r="317">
      <c r="A317" s="368" t="n"/>
      <c r="I317" s="367" t="n"/>
    </row>
    <row r="318">
      <c r="A318" s="366" t="n"/>
      <c r="I318" s="367" t="n"/>
    </row>
    <row r="319" ht="16" customHeight="1" s="486">
      <c r="A319" s="369" t="inlineStr">
        <is>
          <t>Building</t>
        </is>
      </c>
      <c r="B319" s="370" t="inlineStr">
        <is>
          <t>BuildCat</t>
        </is>
      </c>
      <c r="C319" s="371" t="inlineStr">
        <is>
          <t>StorCap</t>
        </is>
      </c>
      <c r="D319" s="370" t="inlineStr">
        <is>
          <t>Date</t>
        </is>
      </c>
      <c r="E319" s="370" t="inlineStr">
        <is>
          <t>Days</t>
        </is>
      </c>
      <c r="F319" s="370" t="inlineStr">
        <is>
          <t>Cost</t>
        </is>
      </c>
      <c r="G319" s="370" t="inlineStr">
        <is>
          <t>Investment</t>
        </is>
      </c>
      <c r="H319" s="366" t="inlineStr">
        <is>
          <t>Qualifying</t>
        </is>
      </c>
      <c r="I319" s="366" t="inlineStr">
        <is>
          <t>ResidualValue</t>
        </is>
      </c>
      <c r="J319" s="366" t="inlineStr">
        <is>
          <t>CapAllowance</t>
        </is>
      </c>
    </row>
    <row r="320" ht="17.25" customHeight="1" s="486">
      <c r="A320" s="490" t="inlineStr">
        <is>
          <t>E1 Part2 Ends Here</t>
        </is>
      </c>
      <c r="B320" s="491" t="n"/>
      <c r="C320" s="491" t="n"/>
      <c r="D320" s="491" t="n"/>
      <c r="E320" s="491" t="n"/>
      <c r="F320" s="491" t="n"/>
      <c r="G320" s="491" t="n"/>
      <c r="H320" s="491" t="n"/>
      <c r="I320" s="491" t="n"/>
      <c r="J320" s="491" t="n"/>
      <c r="K320" s="407" t="n"/>
    </row>
    <row r="321">
      <c r="A321" s="361" t="n"/>
    </row>
    <row r="322">
      <c r="A322" s="361" t="n"/>
    </row>
    <row r="323">
      <c r="A323" s="361" t="n"/>
    </row>
    <row r="324">
      <c r="A324" s="361" t="n"/>
    </row>
    <row r="325">
      <c r="A325" s="361" t="n"/>
    </row>
    <row r="326">
      <c r="A326" s="361" t="n"/>
    </row>
    <row r="336">
      <c r="A336" s="361" t="n"/>
    </row>
    <row r="337">
      <c r="A337" s="361" t="n"/>
    </row>
    <row r="338">
      <c r="A338" s="361" t="n"/>
    </row>
    <row r="339">
      <c r="A339" s="361" t="n"/>
    </row>
    <row r="340" ht="16" customHeight="1" s="486" thickBot="1"/>
    <row r="341">
      <c r="A341" s="363" t="inlineStr">
        <is>
          <t>FOR Section E1 Part 3</t>
        </is>
      </c>
      <c r="B341" s="364" t="n"/>
      <c r="C341" s="364" t="n"/>
      <c r="D341" s="364" t="n"/>
      <c r="E341" s="364" t="n"/>
      <c r="F341" s="364" t="n"/>
      <c r="G341" s="365" t="n"/>
    </row>
    <row r="342">
      <c r="A342" s="366" t="inlineStr">
        <is>
          <t>Criteria</t>
        </is>
      </c>
      <c r="B342" t="inlineStr">
        <is>
          <t>EndRow</t>
        </is>
      </c>
      <c r="C342" t="inlineStr">
        <is>
          <t>criteriaRange</t>
        </is>
      </c>
      <c r="D342" t="inlineStr">
        <is>
          <t>HightLight Cell Column</t>
        </is>
      </c>
      <c r="G342" s="367" t="n"/>
    </row>
    <row r="343">
      <c r="A343" s="366" t="inlineStr">
        <is>
          <t>crit1</t>
        </is>
      </c>
      <c r="B343" t="n">
        <v>361</v>
      </c>
      <c r="C343" t="inlineStr">
        <is>
          <t>A1:A2</t>
        </is>
      </c>
      <c r="D343" t="inlineStr">
        <is>
          <t>A</t>
        </is>
      </c>
      <c r="G343" s="367" t="n"/>
    </row>
    <row r="344">
      <c r="A344" s="366" t="inlineStr">
        <is>
          <t>crit2</t>
        </is>
      </c>
      <c r="B344" t="n">
        <v>365</v>
      </c>
      <c r="C344" t="inlineStr">
        <is>
          <t>A5:A6</t>
        </is>
      </c>
      <c r="D344" t="inlineStr">
        <is>
          <t>B</t>
        </is>
      </c>
      <c r="G344" s="367" t="n"/>
    </row>
    <row r="345">
      <c r="A345" s="366" t="inlineStr">
        <is>
          <t>crit3</t>
        </is>
      </c>
      <c r="B345" t="n">
        <v>369</v>
      </c>
      <c r="C345" t="inlineStr">
        <is>
          <t>A9:A10</t>
        </is>
      </c>
      <c r="D345" t="inlineStr">
        <is>
          <t>C</t>
        </is>
      </c>
      <c r="G345" s="367" t="n"/>
    </row>
    <row r="346">
      <c r="A346" s="366" t="inlineStr">
        <is>
          <t>crit4</t>
        </is>
      </c>
      <c r="B346" t="n">
        <v>373</v>
      </c>
      <c r="C346" t="inlineStr">
        <is>
          <t>A13:A14</t>
        </is>
      </c>
      <c r="D346" t="inlineStr">
        <is>
          <t>D</t>
        </is>
      </c>
      <c r="G346" s="367" t="n"/>
    </row>
    <row r="347">
      <c r="A347" s="366" t="inlineStr">
        <is>
          <t>crit5</t>
        </is>
      </c>
      <c r="B347" t="n">
        <v>377</v>
      </c>
      <c r="C347" t="inlineStr">
        <is>
          <t>A17:A18</t>
        </is>
      </c>
      <c r="D347" t="inlineStr">
        <is>
          <t>E</t>
        </is>
      </c>
      <c r="G347" s="367" t="n"/>
    </row>
    <row r="348">
      <c r="A348" s="366" t="inlineStr">
        <is>
          <t>crit6</t>
        </is>
      </c>
      <c r="B348" t="n">
        <v>381</v>
      </c>
      <c r="C348" t="inlineStr">
        <is>
          <t>A21:A22</t>
        </is>
      </c>
      <c r="D348" t="inlineStr">
        <is>
          <t>F</t>
        </is>
      </c>
      <c r="G348" s="367" t="n"/>
    </row>
    <row r="349">
      <c r="A349" s="366" t="n"/>
      <c r="G349" s="367" t="n"/>
    </row>
    <row r="350">
      <c r="A350" s="366" t="n"/>
      <c r="G350" s="367" t="n"/>
    </row>
    <row r="351">
      <c r="A351" s="366" t="n"/>
      <c r="G351" s="367" t="n"/>
    </row>
    <row r="352">
      <c r="A352" s="366" t="n"/>
      <c r="G352" s="367" t="n"/>
    </row>
    <row r="353">
      <c r="A353" s="366" t="n"/>
      <c r="G353" s="367" t="n"/>
    </row>
    <row r="354">
      <c r="A354" s="366" t="n"/>
      <c r="G354" s="367" t="n"/>
    </row>
    <row r="355">
      <c r="A355" s="366" t="n"/>
      <c r="G355" s="367" t="n"/>
    </row>
    <row r="356">
      <c r="A356" s="366" t="n"/>
      <c r="G356" s="367" t="n"/>
    </row>
    <row r="357">
      <c r="A357" s="366" t="n"/>
      <c r="G357" s="367" t="n"/>
    </row>
    <row r="358">
      <c r="A358" s="366" t="n"/>
      <c r="G358" s="367" t="n"/>
    </row>
    <row r="359">
      <c r="A359" s="366" t="n"/>
      <c r="G359" s="367" t="n"/>
    </row>
    <row r="360">
      <c r="A360" s="366" t="inlineStr">
        <is>
          <t>QualifyingAssets</t>
        </is>
      </c>
      <c r="G360" s="367" t="n"/>
    </row>
    <row r="361">
      <c r="A361" s="366">
        <f>"=???????????????????????????????????????????????????*"</f>
        <v/>
      </c>
      <c r="G361" s="367" t="n"/>
    </row>
    <row r="362">
      <c r="A362" s="368" t="inlineStr">
        <is>
          <t xml:space="preserve">'Qualifying Assets' should be of length less than or equal to 50 characters in row(s): </t>
        </is>
      </c>
      <c r="G362" s="367" t="n"/>
    </row>
    <row r="363">
      <c r="A363" s="366" t="n"/>
      <c r="G363" s="367" t="n"/>
    </row>
    <row r="364">
      <c r="A364" s="366" t="inlineStr">
        <is>
          <t>Date</t>
        </is>
      </c>
      <c r="G364" s="367" t="n"/>
    </row>
    <row r="365">
      <c r="A365" s="368" t="inlineStr">
        <is>
          <t>=???????????*</t>
        </is>
      </c>
      <c r="G365" s="367" t="n"/>
    </row>
    <row r="366">
      <c r="A366" s="368" t="inlineStr">
        <is>
          <t>"Please enter date value in dd/mm/yyyy format.</t>
        </is>
      </c>
      <c r="G366" s="367" t="n"/>
    </row>
    <row r="367">
      <c r="A367" s="366" t="n"/>
      <c r="G367" s="367" t="n"/>
    </row>
    <row r="368">
      <c r="A368" s="366" t="inlineStr">
        <is>
          <t>Expenditure</t>
        </is>
      </c>
      <c r="G368" s="367" t="n"/>
    </row>
    <row r="369">
      <c r="A369" s="366" t="inlineStr">
        <is>
          <t>=</t>
        </is>
      </c>
      <c r="G369" s="367" t="n"/>
    </row>
    <row r="370">
      <c r="A370" s="368" t="inlineStr">
        <is>
          <t xml:space="preserve">Expenditure' should contain value in following row(s) : </t>
        </is>
      </c>
      <c r="G370" s="367" t="n"/>
    </row>
    <row r="371">
      <c r="A371" s="366" t="n"/>
      <c r="G371" s="367" t="n"/>
    </row>
    <row r="372">
      <c r="A372" s="366" t="inlineStr">
        <is>
          <t>WDV</t>
        </is>
      </c>
      <c r="G372" s="367" t="n"/>
    </row>
    <row r="373">
      <c r="A373" s="366" t="inlineStr">
        <is>
          <t>=</t>
        </is>
      </c>
      <c r="G373" s="367" t="n"/>
    </row>
    <row r="374">
      <c r="A374" s="368" t="inlineStr">
        <is>
          <t xml:space="preserve">Written Down Value (WDV) at the Beginning of the Year' should contain value in following row(s) : </t>
        </is>
      </c>
      <c r="G374" s="367" t="n"/>
    </row>
    <row r="375">
      <c r="A375" s="366" t="n"/>
      <c r="G375" s="367" t="n"/>
    </row>
    <row r="376">
      <c r="A376" s="366" t="inlineStr">
        <is>
          <t>Sale</t>
        </is>
      </c>
      <c r="G376" s="367" t="n"/>
    </row>
    <row r="377">
      <c r="A377" s="366" t="inlineStr">
        <is>
          <t>=</t>
        </is>
      </c>
      <c r="G377" s="367" t="n"/>
    </row>
    <row r="378">
      <c r="A378" s="368" t="inlineStr">
        <is>
          <t xml:space="preserve">Sale or Transfer' should contain value in following row(s) : </t>
        </is>
      </c>
      <c r="G378" s="367" t="n"/>
    </row>
    <row r="379">
      <c r="A379" s="366" t="n"/>
      <c r="G379" s="367" t="n"/>
    </row>
    <row r="380">
      <c r="A380" s="366" t="inlineStr">
        <is>
          <t>Deductions</t>
        </is>
      </c>
      <c r="G380" s="367" t="n"/>
    </row>
    <row r="381">
      <c r="A381" s="366" t="inlineStr">
        <is>
          <t>=</t>
        </is>
      </c>
      <c r="G381" s="367" t="n"/>
    </row>
    <row r="382">
      <c r="A382" s="368" t="inlineStr">
        <is>
          <t xml:space="preserve">Deductions during the Year' should contain value in following row(s) : </t>
        </is>
      </c>
      <c r="G382" s="367" t="n"/>
    </row>
    <row r="383">
      <c r="A383" s="366" t="n"/>
      <c r="G383" s="367" t="n"/>
    </row>
    <row r="384">
      <c r="A384" s="366" t="n"/>
      <c r="G384" s="367" t="n"/>
    </row>
    <row r="385">
      <c r="A385" s="368" t="n"/>
      <c r="G385" s="367" t="n"/>
    </row>
    <row r="386">
      <c r="A386" s="368" t="n"/>
      <c r="G386" s="367" t="n"/>
    </row>
    <row r="387">
      <c r="A387" s="368" t="n"/>
      <c r="G387" s="367" t="n"/>
    </row>
    <row r="388">
      <c r="A388" s="366" t="n"/>
      <c r="G388" s="367" t="n"/>
    </row>
    <row r="389">
      <c r="A389" s="366" t="n"/>
      <c r="G389" s="367" t="n"/>
    </row>
    <row r="390">
      <c r="A390" s="368" t="n"/>
      <c r="G390" s="367" t="n"/>
    </row>
    <row r="391">
      <c r="A391" s="366" t="n"/>
      <c r="G391" s="367" t="n"/>
    </row>
    <row r="392">
      <c r="A392" s="366" t="n"/>
      <c r="G392" s="367" t="n"/>
    </row>
    <row r="393">
      <c r="A393" s="366" t="n"/>
      <c r="G393" s="367" t="n"/>
    </row>
    <row r="394">
      <c r="A394" s="368" t="n"/>
      <c r="G394" s="367" t="n"/>
    </row>
    <row r="395">
      <c r="A395" s="368" t="n"/>
      <c r="G395" s="367" t="n"/>
    </row>
    <row r="396">
      <c r="A396" s="368" t="n"/>
      <c r="G396" s="367" t="n"/>
    </row>
    <row r="397">
      <c r="A397" s="366" t="n"/>
      <c r="G397" s="367" t="n"/>
    </row>
    <row r="398" ht="32" customHeight="1" s="486">
      <c r="A398" s="377" t="inlineStr">
        <is>
          <t>QualifyingAssets</t>
        </is>
      </c>
      <c r="B398" s="376" t="inlineStr">
        <is>
          <t>Date</t>
        </is>
      </c>
      <c r="C398" s="376" t="inlineStr">
        <is>
          <t>Expenditure</t>
        </is>
      </c>
      <c r="D398" s="376" t="inlineStr">
        <is>
          <t>WDV</t>
        </is>
      </c>
      <c r="E398" s="376" t="inlineStr">
        <is>
          <t>Sale</t>
        </is>
      </c>
      <c r="F398" s="376" t="inlineStr">
        <is>
          <t>Deductions</t>
        </is>
      </c>
      <c r="G398" s="378" t="inlineStr">
        <is>
          <t xml:space="preserve">WDVTotal
</t>
        </is>
      </c>
    </row>
    <row r="399" ht="16.5" customHeight="1" s="486" thickBot="1">
      <c r="A399" s="492" t="inlineStr">
        <is>
          <t>E1 Part3 Ends Here</t>
        </is>
      </c>
      <c r="B399" s="493" t="n"/>
      <c r="C399" s="493" t="n"/>
      <c r="D399" s="493" t="n"/>
      <c r="E399" s="493" t="n"/>
      <c r="F399" s="493" t="n"/>
      <c r="G399" s="494" t="n"/>
    </row>
    <row r="400">
      <c r="A400" s="361" t="n"/>
    </row>
    <row r="401">
      <c r="A401" s="361" t="n"/>
    </row>
    <row r="402">
      <c r="A402" s="361" t="n"/>
    </row>
    <row r="403">
      <c r="A403" s="361" t="n"/>
    </row>
    <row r="404">
      <c r="A404" s="361" t="n"/>
    </row>
    <row r="405">
      <c r="A405" s="361" t="n"/>
    </row>
    <row r="406">
      <c r="A406" s="361" t="n"/>
    </row>
    <row r="407">
      <c r="A407" s="361" t="n"/>
    </row>
    <row r="408">
      <c r="A408" s="361" t="n"/>
    </row>
    <row r="409">
      <c r="A409" s="361" t="n"/>
    </row>
    <row r="410">
      <c r="A410" s="361" t="n"/>
    </row>
    <row r="411">
      <c r="A411" s="361" t="n"/>
    </row>
    <row r="412">
      <c r="A412" s="361" t="n"/>
    </row>
    <row r="413">
      <c r="A413" s="361" t="n"/>
    </row>
    <row r="414">
      <c r="A414" s="361" t="n"/>
    </row>
    <row r="415">
      <c r="A415" s="361" t="n"/>
    </row>
    <row r="416">
      <c r="A416" s="361" t="n"/>
    </row>
    <row r="417">
      <c r="A417" s="361" t="n"/>
    </row>
    <row r="418" ht="16" customHeight="1" s="486" thickBot="1"/>
    <row r="419">
      <c r="A419" s="363" t="inlineStr">
        <is>
          <t>FOR Section E1 Part 4</t>
        </is>
      </c>
      <c r="B419" s="364" t="n"/>
      <c r="C419" s="364" t="n"/>
      <c r="D419" s="364" t="n"/>
      <c r="E419" s="364" t="n"/>
      <c r="F419" s="364" t="n"/>
      <c r="G419" s="364" t="n"/>
      <c r="H419" s="364" t="n"/>
      <c r="I419" s="365" t="n"/>
    </row>
    <row r="420">
      <c r="A420" s="366" t="inlineStr">
        <is>
          <t>Criteria</t>
        </is>
      </c>
      <c r="B420" t="inlineStr">
        <is>
          <t>EndRow</t>
        </is>
      </c>
      <c r="C420" t="inlineStr">
        <is>
          <t>criteriaRange</t>
        </is>
      </c>
      <c r="D420" t="inlineStr">
        <is>
          <t>HightLight Cell Column</t>
        </is>
      </c>
      <c r="I420" s="367" t="n"/>
    </row>
    <row r="421">
      <c r="A421" s="366" t="inlineStr">
        <is>
          <t>crit1</t>
        </is>
      </c>
      <c r="B421" t="n">
        <v>436</v>
      </c>
      <c r="C421" t="inlineStr">
        <is>
          <t>A1:A2</t>
        </is>
      </c>
      <c r="D421" t="inlineStr">
        <is>
          <t>A</t>
        </is>
      </c>
      <c r="I421" s="367" t="n"/>
    </row>
    <row r="422">
      <c r="A422" s="366" t="inlineStr">
        <is>
          <t>crit2</t>
        </is>
      </c>
      <c r="B422" t="n">
        <v>440</v>
      </c>
      <c r="C422" t="inlineStr">
        <is>
          <t>A5:A6</t>
        </is>
      </c>
      <c r="D422" t="inlineStr">
        <is>
          <t>C</t>
        </is>
      </c>
      <c r="I422" s="367" t="n"/>
    </row>
    <row r="423">
      <c r="A423" s="366" t="inlineStr">
        <is>
          <t>crit3</t>
        </is>
      </c>
      <c r="B423" t="n">
        <v>444</v>
      </c>
      <c r="C423" t="inlineStr">
        <is>
          <t>A9:A10</t>
        </is>
      </c>
      <c r="D423" t="inlineStr">
        <is>
          <t>D</t>
        </is>
      </c>
      <c r="I423" s="367" t="n"/>
    </row>
    <row r="424">
      <c r="A424" s="366" t="inlineStr">
        <is>
          <t>crit4</t>
        </is>
      </c>
      <c r="B424" t="n">
        <v>448</v>
      </c>
      <c r="C424" t="inlineStr">
        <is>
          <t>A13:A14</t>
        </is>
      </c>
      <c r="D424" t="inlineStr">
        <is>
          <t>E</t>
        </is>
      </c>
      <c r="I424" s="367" t="n"/>
    </row>
    <row r="425">
      <c r="A425" s="366" t="inlineStr">
        <is>
          <t>crit5</t>
        </is>
      </c>
      <c r="B425" t="n">
        <v>452</v>
      </c>
      <c r="C425" t="inlineStr">
        <is>
          <t>A17:A18</t>
        </is>
      </c>
      <c r="D425" t="inlineStr">
        <is>
          <t>F</t>
        </is>
      </c>
      <c r="I425" s="367" t="n"/>
    </row>
    <row r="426">
      <c r="A426" s="366" t="inlineStr">
        <is>
          <t>crit6</t>
        </is>
      </c>
      <c r="B426" t="n">
        <v>456</v>
      </c>
      <c r="C426" t="inlineStr">
        <is>
          <t>A21:A22</t>
        </is>
      </c>
      <c r="D426" t="inlineStr">
        <is>
          <t>G</t>
        </is>
      </c>
      <c r="I426" s="367" t="n"/>
    </row>
    <row r="427">
      <c r="A427" s="366" t="inlineStr">
        <is>
          <t>crit7</t>
        </is>
      </c>
      <c r="B427" t="n">
        <v>460</v>
      </c>
      <c r="C427" t="inlineStr">
        <is>
          <t>A25:A26</t>
        </is>
      </c>
      <c r="D427" t="inlineStr">
        <is>
          <t>H</t>
        </is>
      </c>
      <c r="I427" s="367" t="n"/>
    </row>
    <row r="428">
      <c r="A428" s="366" t="inlineStr">
        <is>
          <t>crit8</t>
        </is>
      </c>
      <c r="B428" t="n">
        <v>464</v>
      </c>
      <c r="C428" t="inlineStr">
        <is>
          <t>A29:A30</t>
        </is>
      </c>
      <c r="D428" t="inlineStr">
        <is>
          <t>B</t>
        </is>
      </c>
      <c r="I428" s="367" t="n"/>
    </row>
    <row r="429">
      <c r="A429" s="366" t="n"/>
      <c r="I429" s="367" t="n"/>
    </row>
    <row r="430">
      <c r="A430" s="366" t="n"/>
      <c r="I430" s="367" t="n"/>
    </row>
    <row r="431">
      <c r="A431" s="366" t="n"/>
      <c r="I431" s="367" t="n"/>
    </row>
    <row r="432">
      <c r="A432" s="366" t="n"/>
      <c r="I432" s="367" t="n"/>
    </row>
    <row r="433">
      <c r="A433" s="366" t="n"/>
      <c r="I433" s="367" t="n"/>
    </row>
    <row r="434">
      <c r="A434" s="366" t="n"/>
      <c r="I434" s="367" t="n"/>
    </row>
    <row r="435">
      <c r="A435" s="366" t="inlineStr">
        <is>
          <t>Item</t>
        </is>
      </c>
      <c r="I435" s="367" t="n"/>
    </row>
    <row r="436">
      <c r="A436" s="366">
        <f>"=???????????????????????????????????????????????????*"</f>
        <v/>
      </c>
      <c r="I436" s="367" t="n"/>
    </row>
    <row r="437">
      <c r="A437" s="368" t="inlineStr">
        <is>
          <t xml:space="preserve">'Item' should be of length less than or equal to 50 characters in row(s): </t>
        </is>
      </c>
      <c r="I437" s="367" t="n"/>
    </row>
    <row r="438">
      <c r="A438" s="366" t="n"/>
      <c r="I438" s="367" t="n"/>
    </row>
    <row r="439">
      <c r="A439" s="366" t="inlineStr">
        <is>
          <t>Desc</t>
        </is>
      </c>
      <c r="I439" s="367" t="n"/>
    </row>
    <row r="440">
      <c r="A440" s="366">
        <f>"=???????????????????????????????????????????????????*"</f>
        <v/>
      </c>
      <c r="I440" s="367" t="n"/>
    </row>
    <row r="441">
      <c r="A441" s="368" t="inlineStr">
        <is>
          <t xml:space="preserve">'Item Description' should be of length less than or equal to 50 characters in row(s): </t>
        </is>
      </c>
      <c r="I441" s="367" t="n"/>
    </row>
    <row r="442">
      <c r="A442" s="366" t="n"/>
      <c r="I442" s="367" t="n"/>
    </row>
    <row r="443">
      <c r="A443" s="366" t="inlineStr">
        <is>
          <t>SrNo</t>
        </is>
      </c>
      <c r="I443" s="367" t="n"/>
    </row>
    <row r="444">
      <c r="A444" s="366">
        <f>"=???????????????????????????????????????????????????*"</f>
        <v/>
      </c>
      <c r="I444" s="367" t="n"/>
    </row>
    <row r="445">
      <c r="A445" s="368" t="inlineStr">
        <is>
          <t xml:space="preserve">'Serial Number' should be of length less than or equal to 50 characters in row(s): </t>
        </is>
      </c>
      <c r="I445" s="367" t="n"/>
    </row>
    <row r="446">
      <c r="A446" s="366" t="n"/>
      <c r="I446" s="367" t="n"/>
    </row>
    <row r="447">
      <c r="A447" s="366" t="inlineStr">
        <is>
          <t>Date</t>
        </is>
      </c>
      <c r="I447" s="367" t="n"/>
    </row>
    <row r="448">
      <c r="A448" s="368" t="inlineStr">
        <is>
          <t>=???????????*</t>
        </is>
      </c>
      <c r="I448" s="367" t="n"/>
    </row>
    <row r="449">
      <c r="A449" s="368" t="inlineStr">
        <is>
          <t>"Please enter date value in dd/mm/yyyy format.</t>
        </is>
      </c>
      <c r="I449" s="367" t="n"/>
    </row>
    <row r="450">
      <c r="A450" s="366" t="n"/>
      <c r="I450" s="367" t="n"/>
    </row>
    <row r="451">
      <c r="A451" s="366" t="inlineStr">
        <is>
          <t>Rate</t>
        </is>
      </c>
      <c r="I451" s="367" t="n"/>
    </row>
    <row r="452">
      <c r="A452" s="366" t="inlineStr">
        <is>
          <t>&lt;&gt;</t>
        </is>
      </c>
      <c r="I452" s="367" t="n"/>
    </row>
    <row r="453">
      <c r="A453" s="368" t="inlineStr">
        <is>
          <t xml:space="preserve">Rate' should not contain any value in following row(s) : </t>
        </is>
      </c>
      <c r="I453" s="367" t="n"/>
    </row>
    <row r="454">
      <c r="A454" s="366" t="n"/>
      <c r="I454" s="367" t="n"/>
    </row>
    <row r="455">
      <c r="A455" s="366" t="inlineStr">
        <is>
          <t>Cost</t>
        </is>
      </c>
      <c r="I455" s="367" t="n"/>
    </row>
    <row r="456">
      <c r="A456" s="366" t="inlineStr">
        <is>
          <t>=</t>
        </is>
      </c>
      <c r="I456" s="367" t="n"/>
    </row>
    <row r="457">
      <c r="A457" s="368" t="inlineStr">
        <is>
          <t xml:space="preserve">Actual Cost' should contain value in following row(s) : </t>
        </is>
      </c>
      <c r="I457" s="367" t="n"/>
    </row>
    <row r="458">
      <c r="A458" s="366" t="n"/>
      <c r="I458" s="367" t="n"/>
    </row>
    <row r="459">
      <c r="A459" s="366" t="inlineStr">
        <is>
          <t>Disposal</t>
        </is>
      </c>
      <c r="I459" s="367" t="n"/>
    </row>
    <row r="460">
      <c r="A460" s="366" t="inlineStr">
        <is>
          <t>=</t>
        </is>
      </c>
      <c r="I460" s="367" t="n"/>
    </row>
    <row r="461">
      <c r="A461" s="368" t="inlineStr">
        <is>
          <t xml:space="preserve">Disposal at Cost during the Year at cost' should contain value in following row(s) : </t>
        </is>
      </c>
      <c r="I461" s="367" t="n"/>
    </row>
    <row r="462">
      <c r="A462" s="366" t="n"/>
      <c r="I462" s="367" t="n"/>
    </row>
    <row r="463">
      <c r="A463" s="366" t="inlineStr">
        <is>
          <t>ItemCat</t>
        </is>
      </c>
      <c r="I463" s="367" t="n"/>
    </row>
    <row r="464">
      <c r="A464" s="366" t="inlineStr">
        <is>
          <t>&lt;&gt;</t>
        </is>
      </c>
      <c r="I464" s="367" t="n"/>
    </row>
    <row r="465">
      <c r="A465" s="368" t="inlineStr">
        <is>
          <t xml:space="preserve">'Item Category' should not contain any value in following row(s) : </t>
        </is>
      </c>
      <c r="I465" s="367" t="n"/>
    </row>
    <row r="466">
      <c r="A466" s="368" t="n"/>
      <c r="I466" s="367" t="n"/>
    </row>
    <row r="467">
      <c r="A467" s="368" t="n"/>
      <c r="I467" s="367" t="n"/>
    </row>
    <row r="468">
      <c r="A468" s="366" t="n"/>
      <c r="I468" s="367" t="n"/>
    </row>
    <row r="469">
      <c r="A469" s="366" t="n"/>
      <c r="I469" s="367" t="n"/>
    </row>
    <row r="470">
      <c r="A470" s="366" t="n"/>
      <c r="I470" s="367" t="n"/>
    </row>
    <row r="471">
      <c r="A471" s="368" t="n"/>
      <c r="I471" s="367" t="n"/>
    </row>
    <row r="472">
      <c r="A472" s="368" t="n"/>
      <c r="I472" s="367" t="n"/>
    </row>
    <row r="473">
      <c r="A473" s="368" t="n"/>
      <c r="I473" s="367" t="n"/>
    </row>
    <row r="474">
      <c r="A474" s="366" t="n"/>
      <c r="I474" s="367" t="n"/>
    </row>
    <row r="475" ht="16" customHeight="1" s="486">
      <c r="A475" s="377" t="inlineStr">
        <is>
          <t>Item</t>
        </is>
      </c>
      <c r="B475" s="376" t="inlineStr">
        <is>
          <t>ItemCat</t>
        </is>
      </c>
      <c r="C475" s="376" t="inlineStr">
        <is>
          <t>Desc</t>
        </is>
      </c>
      <c r="D475" s="376" t="inlineStr">
        <is>
          <t>SrNo</t>
        </is>
      </c>
      <c r="E475" s="376" t="inlineStr">
        <is>
          <t>Date</t>
        </is>
      </c>
      <c r="F475" s="376" t="inlineStr">
        <is>
          <t>Rate</t>
        </is>
      </c>
      <c r="G475" s="376" t="inlineStr">
        <is>
          <t>Cost</t>
        </is>
      </c>
      <c r="H475" s="380" t="inlineStr">
        <is>
          <t>Disposal</t>
        </is>
      </c>
      <c r="I475" s="381" t="n"/>
      <c r="J475" s="381" t="n"/>
    </row>
    <row r="476" ht="17.25" customHeight="1" s="486" thickBot="1">
      <c r="A476" s="492" t="inlineStr">
        <is>
          <t>E1 Part4 Ends Here</t>
        </is>
      </c>
      <c r="B476" s="493" t="n"/>
      <c r="C476" s="493" t="n"/>
      <c r="D476" s="493" t="n"/>
      <c r="E476" s="493" t="n"/>
      <c r="F476" s="493" t="n"/>
      <c r="G476" s="493" t="n"/>
      <c r="H476" s="493" t="n"/>
      <c r="I476" s="493" t="n"/>
      <c r="J476" s="494" t="n"/>
    </row>
    <row r="477">
      <c r="A477" s="361" t="n"/>
    </row>
    <row r="478">
      <c r="A478" s="361" t="n"/>
    </row>
    <row r="479">
      <c r="A479" s="361" t="n"/>
    </row>
    <row r="489">
      <c r="A489" s="361" t="n"/>
    </row>
    <row r="490">
      <c r="A490" s="361" t="n"/>
    </row>
    <row r="491">
      <c r="A491" s="361" t="n"/>
    </row>
    <row r="492">
      <c r="A492" s="361" t="n"/>
    </row>
    <row r="493">
      <c r="A493" s="361" t="n"/>
    </row>
    <row r="494">
      <c r="A494" s="361" t="n"/>
    </row>
    <row r="497">
      <c r="A497" s="361" t="n"/>
    </row>
    <row r="498">
      <c r="A498" s="361" t="n"/>
    </row>
    <row r="499">
      <c r="A499" s="361" t="n"/>
    </row>
    <row r="500">
      <c r="A500" s="361" t="n"/>
    </row>
    <row r="503" ht="16" customHeight="1" s="486" thickBot="1"/>
    <row r="504">
      <c r="A504" s="363" t="inlineStr">
        <is>
          <t>FOR Section E2_CA_WTA_SLM</t>
        </is>
      </c>
      <c r="B504" s="364" t="n"/>
      <c r="C504" s="364" t="n"/>
      <c r="D504" s="364" t="n"/>
      <c r="E504" s="364" t="n"/>
      <c r="F504" s="364" t="n"/>
      <c r="G504" s="364" t="n"/>
      <c r="H504" s="364" t="n"/>
      <c r="I504" s="365" t="n"/>
    </row>
    <row r="505">
      <c r="A505" s="366" t="inlineStr">
        <is>
          <t>Criteria</t>
        </is>
      </c>
      <c r="B505" t="inlineStr">
        <is>
          <t>EndRow</t>
        </is>
      </c>
      <c r="C505" t="inlineStr">
        <is>
          <t>criteriaRange</t>
        </is>
      </c>
      <c r="D505" t="inlineStr">
        <is>
          <t>HightLight Cell Column</t>
        </is>
      </c>
      <c r="I505" s="367" t="n"/>
    </row>
    <row r="506">
      <c r="A506" s="366" t="inlineStr">
        <is>
          <t>crit1</t>
        </is>
      </c>
      <c r="B506" t="n">
        <v>521</v>
      </c>
      <c r="C506" t="inlineStr">
        <is>
          <t>A1:A2</t>
        </is>
      </c>
      <c r="D506" t="inlineStr">
        <is>
          <t>A</t>
        </is>
      </c>
      <c r="I506" s="367" t="n"/>
    </row>
    <row r="507">
      <c r="A507" s="366" t="inlineStr">
        <is>
          <t>crit2</t>
        </is>
      </c>
      <c r="B507" t="n">
        <v>525</v>
      </c>
      <c r="C507" t="inlineStr">
        <is>
          <t>A5:A6</t>
        </is>
      </c>
      <c r="D507" t="inlineStr">
        <is>
          <t>B</t>
        </is>
      </c>
      <c r="I507" s="367" t="n"/>
    </row>
    <row r="508">
      <c r="A508" s="366" t="inlineStr">
        <is>
          <t>crit3</t>
        </is>
      </c>
      <c r="B508" t="n">
        <v>529</v>
      </c>
      <c r="C508" t="inlineStr">
        <is>
          <t>A9:A10</t>
        </is>
      </c>
      <c r="D508" t="inlineStr">
        <is>
          <t>C</t>
        </is>
      </c>
      <c r="I508" s="367" t="n"/>
    </row>
    <row r="509">
      <c r="A509" s="366" t="inlineStr">
        <is>
          <t>crit4</t>
        </is>
      </c>
      <c r="B509" t="n">
        <v>533</v>
      </c>
      <c r="C509" t="inlineStr">
        <is>
          <t>A13:A14</t>
        </is>
      </c>
      <c r="D509" t="inlineStr">
        <is>
          <t>D</t>
        </is>
      </c>
      <c r="I509" s="367" t="n"/>
    </row>
    <row r="510">
      <c r="A510" s="366" t="inlineStr">
        <is>
          <t>crit5</t>
        </is>
      </c>
      <c r="B510" t="n">
        <v>538</v>
      </c>
      <c r="C510" t="inlineStr">
        <is>
          <t>A17:B19</t>
        </is>
      </c>
      <c r="D510" t="inlineStr">
        <is>
          <t>E</t>
        </is>
      </c>
      <c r="I510" s="367" t="n"/>
    </row>
    <row r="511">
      <c r="A511" s="366" t="inlineStr">
        <is>
          <t>crit6</t>
        </is>
      </c>
      <c r="B511" t="n">
        <v>542</v>
      </c>
      <c r="C511" t="inlineStr">
        <is>
          <t>A22:A23</t>
        </is>
      </c>
      <c r="D511" t="inlineStr">
        <is>
          <t>F</t>
        </is>
      </c>
      <c r="I511" s="367" t="n"/>
    </row>
    <row r="512">
      <c r="A512" s="366" t="inlineStr">
        <is>
          <t>crit7</t>
        </is>
      </c>
      <c r="B512" t="n">
        <v>546</v>
      </c>
      <c r="C512" t="inlineStr">
        <is>
          <t>A26:A27</t>
        </is>
      </c>
      <c r="D512" t="inlineStr">
        <is>
          <t>G</t>
        </is>
      </c>
      <c r="I512" s="367" t="n"/>
    </row>
    <row r="513">
      <c r="A513" s="366" t="n"/>
      <c r="I513" s="367" t="n"/>
    </row>
    <row r="514">
      <c r="A514" s="366" t="n"/>
      <c r="I514" s="367" t="n"/>
    </row>
    <row r="515">
      <c r="A515" s="366" t="n"/>
      <c r="I515" s="367" t="n"/>
    </row>
    <row r="516">
      <c r="A516" s="366" t="n"/>
      <c r="I516" s="367" t="n"/>
    </row>
    <row r="517">
      <c r="A517" s="366" t="n"/>
      <c r="I517" s="367" t="n"/>
    </row>
    <row r="518">
      <c r="A518" s="366" t="n"/>
      <c r="I518" s="367" t="n"/>
    </row>
    <row r="519">
      <c r="A519" s="366" t="n"/>
      <c r="I519" s="367" t="n"/>
    </row>
    <row r="520">
      <c r="A520" s="366" t="inlineStr">
        <is>
          <t>Item</t>
        </is>
      </c>
      <c r="I520" s="367" t="n"/>
    </row>
    <row r="521">
      <c r="A521" s="366">
        <f>"=???????????????????????????????????????????????????*"</f>
        <v/>
      </c>
      <c r="I521" s="367" t="n"/>
    </row>
    <row r="522">
      <c r="A522" s="368" t="inlineStr">
        <is>
          <t xml:space="preserve">'Item' should be of length less than or equal to 50 characters in row(s): </t>
        </is>
      </c>
      <c r="I522" s="367" t="n"/>
    </row>
    <row r="523">
      <c r="A523" s="366" t="n"/>
      <c r="I523" s="367" t="n"/>
    </row>
    <row r="524">
      <c r="A524" s="366" t="inlineStr">
        <is>
          <t>Desc</t>
        </is>
      </c>
      <c r="I524" s="367" t="n"/>
    </row>
    <row r="525">
      <c r="A525" s="366">
        <f>"=???????????????????????????????????????????????????*"</f>
        <v/>
      </c>
      <c r="I525" s="367" t="n"/>
    </row>
    <row r="526">
      <c r="A526" s="368" t="inlineStr">
        <is>
          <t xml:space="preserve">'Item Description' should be of length less than or equal to 50 characters in row(s): </t>
        </is>
      </c>
      <c r="I526" s="367" t="n"/>
    </row>
    <row r="527">
      <c r="A527" s="366" t="n"/>
      <c r="I527" s="367" t="n"/>
    </row>
    <row r="528">
      <c r="A528" s="366" t="inlineStr">
        <is>
          <t>SrNo</t>
        </is>
      </c>
      <c r="I528" s="367" t="n"/>
    </row>
    <row r="529">
      <c r="A529" s="366">
        <f>"=???????????????????????????????????????????????????*"</f>
        <v/>
      </c>
      <c r="I529" s="367" t="n"/>
    </row>
    <row r="530">
      <c r="A530" s="368" t="inlineStr">
        <is>
          <t xml:space="preserve">'Serial Number' should be of length less than or equal to 50 characters in row(s): </t>
        </is>
      </c>
      <c r="I530" s="367" t="n"/>
    </row>
    <row r="531">
      <c r="A531" s="366" t="n"/>
      <c r="I531" s="367" t="n"/>
    </row>
    <row r="532">
      <c r="A532" s="366" t="inlineStr">
        <is>
          <t>Date</t>
        </is>
      </c>
      <c r="I532" s="367" t="n"/>
    </row>
    <row r="533">
      <c r="A533" s="368" t="inlineStr">
        <is>
          <t>=???????????*</t>
        </is>
      </c>
      <c r="I533" s="367" t="n"/>
    </row>
    <row r="534">
      <c r="A534" s="368" t="inlineStr">
        <is>
          <t>"Please enter date value in dd/mm/yyyy format.</t>
        </is>
      </c>
      <c r="I534" s="367" t="n"/>
    </row>
    <row r="535">
      <c r="A535" s="366" t="n"/>
      <c r="I535" s="367" t="n"/>
    </row>
    <row r="536">
      <c r="A536" s="366" t="inlineStr">
        <is>
          <t>Rate</t>
        </is>
      </c>
      <c r="B536" t="inlineStr">
        <is>
          <t>Rate</t>
        </is>
      </c>
      <c r="I536" s="367" t="n"/>
    </row>
    <row r="537">
      <c r="A537" s="366" t="inlineStr">
        <is>
          <t>&lt;0</t>
        </is>
      </c>
      <c r="I537" s="367" t="n"/>
    </row>
    <row r="538">
      <c r="A538" s="366" t="n"/>
      <c r="B538" t="inlineStr">
        <is>
          <t>&gt;100</t>
        </is>
      </c>
      <c r="I538" s="367" t="n"/>
    </row>
    <row r="539">
      <c r="A539" s="368" t="inlineStr">
        <is>
          <t xml:space="preserve">Rate' should contain value in range of  0 to 100 in following row(s) : </t>
        </is>
      </c>
      <c r="I539" s="367" t="n"/>
    </row>
    <row r="540">
      <c r="A540" s="366" t="n"/>
      <c r="I540" s="367" t="n"/>
    </row>
    <row r="541">
      <c r="A541" s="366" t="inlineStr">
        <is>
          <t>Cost</t>
        </is>
      </c>
      <c r="I541" s="367" t="n"/>
    </row>
    <row r="542">
      <c r="A542" s="366" t="inlineStr">
        <is>
          <t>=</t>
        </is>
      </c>
      <c r="I542" s="367" t="n"/>
    </row>
    <row r="543">
      <c r="A543" s="368" t="inlineStr">
        <is>
          <t xml:space="preserve">Actual Cost' should contain value in following row(s) : </t>
        </is>
      </c>
      <c r="I543" s="367" t="n"/>
    </row>
    <row r="544">
      <c r="A544" s="366" t="n"/>
      <c r="I544" s="367" t="n"/>
    </row>
    <row r="545">
      <c r="A545" s="366" t="inlineStr">
        <is>
          <t>Disposal</t>
        </is>
      </c>
      <c r="I545" s="367" t="n"/>
    </row>
    <row r="546">
      <c r="A546" s="366" t="inlineStr">
        <is>
          <t>=</t>
        </is>
      </c>
      <c r="I546" s="367" t="n"/>
    </row>
    <row r="547">
      <c r="A547" s="368" t="inlineStr">
        <is>
          <t xml:space="preserve">Disposal at Cost during the Year at cost' should contain value in following row(s) : </t>
        </is>
      </c>
      <c r="I547" s="367" t="n"/>
    </row>
    <row r="548">
      <c r="A548" s="366" t="n"/>
      <c r="I548" s="367" t="n"/>
    </row>
    <row r="549">
      <c r="A549" s="366" t="n"/>
      <c r="I549" s="367" t="n"/>
    </row>
    <row r="550">
      <c r="A550" s="366" t="n"/>
      <c r="I550" s="367" t="n"/>
    </row>
    <row r="551">
      <c r="A551" s="368" t="n"/>
      <c r="I551" s="367" t="n"/>
    </row>
    <row r="552">
      <c r="A552" s="368" t="n"/>
      <c r="I552" s="367" t="n"/>
    </row>
    <row r="553">
      <c r="A553" s="366" t="n"/>
      <c r="I553" s="367" t="n"/>
    </row>
    <row r="554">
      <c r="A554" s="366" t="n"/>
      <c r="I554" s="367" t="n"/>
    </row>
    <row r="555">
      <c r="A555" s="366" t="n"/>
      <c r="I555" s="367" t="n"/>
    </row>
    <row r="556">
      <c r="A556" s="368" t="n"/>
      <c r="I556" s="367" t="n"/>
    </row>
    <row r="557">
      <c r="A557" s="366" t="n"/>
      <c r="I557" s="367" t="n"/>
    </row>
    <row r="558">
      <c r="A558" s="366" t="n"/>
      <c r="I558" s="367" t="n"/>
    </row>
    <row r="559">
      <c r="A559" s="368" t="n"/>
      <c r="I559" s="367" t="n"/>
    </row>
    <row r="560">
      <c r="A560" s="368" t="n"/>
      <c r="I560" s="367" t="n"/>
    </row>
    <row r="561">
      <c r="A561" s="366" t="n"/>
      <c r="I561" s="367" t="n"/>
    </row>
    <row r="562">
      <c r="A562" s="366" t="n"/>
      <c r="I562" s="367" t="n"/>
    </row>
    <row r="563">
      <c r="A563" s="366" t="n"/>
      <c r="I563" s="367" t="n"/>
    </row>
    <row r="564">
      <c r="A564" s="368" t="n"/>
      <c r="I564" s="367" t="n"/>
    </row>
    <row r="565">
      <c r="A565" s="368" t="n"/>
      <c r="I565" s="367" t="n"/>
    </row>
    <row r="566">
      <c r="A566" s="366" t="n"/>
      <c r="I566" s="367" t="n"/>
    </row>
    <row r="567" ht="16" customHeight="1" s="486">
      <c r="A567" s="382" t="inlineStr">
        <is>
          <t>Item</t>
        </is>
      </c>
      <c r="B567" s="375" t="inlineStr">
        <is>
          <t>Desc</t>
        </is>
      </c>
      <c r="C567" s="375" t="inlineStr">
        <is>
          <t>SrNo</t>
        </is>
      </c>
      <c r="D567" s="375" t="inlineStr">
        <is>
          <t>Date</t>
        </is>
      </c>
      <c r="E567" s="375" t="inlineStr">
        <is>
          <t>Rate</t>
        </is>
      </c>
      <c r="F567" s="375" t="inlineStr">
        <is>
          <t>Cost</t>
        </is>
      </c>
      <c r="G567" s="375" t="inlineStr">
        <is>
          <t>Disposal</t>
        </is>
      </c>
      <c r="H567" s="379" t="inlineStr">
        <is>
          <t>Total</t>
        </is>
      </c>
      <c r="I567" s="383" t="inlineStr">
        <is>
          <t>WearAndTear</t>
        </is>
      </c>
    </row>
    <row r="568" ht="17" customHeight="1" s="486" thickBot="1">
      <c r="A568" s="492" t="inlineStr">
        <is>
          <t>E2_CA_WTA_SLM Ends Here</t>
        </is>
      </c>
      <c r="B568" s="493" t="n"/>
      <c r="C568" s="493" t="n"/>
      <c r="D568" s="493" t="n"/>
      <c r="E568" s="493" t="n"/>
      <c r="F568" s="493" t="n"/>
      <c r="G568" s="493" t="n"/>
      <c r="H568" s="493" t="n"/>
      <c r="I568" s="494" t="n"/>
    </row>
    <row r="592" ht="16" customHeight="1" s="486" thickBot="1"/>
    <row r="593">
      <c r="A593" s="363" t="inlineStr">
        <is>
          <t>For Section O_WHT_Credits</t>
        </is>
      </c>
      <c r="B593" s="364" t="n"/>
      <c r="C593" s="364" t="n"/>
      <c r="D593" s="364" t="n"/>
      <c r="E593" s="365" t="n"/>
    </row>
    <row r="594">
      <c r="A594" s="366" t="inlineStr">
        <is>
          <t>Criteria</t>
        </is>
      </c>
      <c r="B594" t="inlineStr">
        <is>
          <t>EndRow</t>
        </is>
      </c>
      <c r="C594" t="inlineStr">
        <is>
          <t>criteriaRange</t>
        </is>
      </c>
      <c r="D594" t="inlineStr">
        <is>
          <t>HightLight Cell Column</t>
        </is>
      </c>
      <c r="E594" s="367" t="n"/>
    </row>
    <row r="595">
      <c r="A595" s="366" t="inlineStr">
        <is>
          <t>crit1</t>
        </is>
      </c>
      <c r="B595" t="n">
        <v>609</v>
      </c>
      <c r="C595" t="inlineStr">
        <is>
          <t>A1:B2</t>
        </is>
      </c>
      <c r="D595" t="inlineStr">
        <is>
          <t>A</t>
        </is>
      </c>
      <c r="E595" s="367" t="n"/>
    </row>
    <row r="596">
      <c r="A596" s="366" t="inlineStr">
        <is>
          <t>crit2</t>
        </is>
      </c>
      <c r="B596" t="n">
        <v>613</v>
      </c>
      <c r="C596" t="inlineStr">
        <is>
          <t>A5:A6</t>
        </is>
      </c>
      <c r="D596" t="inlineStr">
        <is>
          <t>B</t>
        </is>
      </c>
      <c r="E596" s="367" t="n"/>
    </row>
    <row r="597">
      <c r="A597" s="366" t="inlineStr">
        <is>
          <t>crit3</t>
        </is>
      </c>
      <c r="B597" t="n">
        <v>617</v>
      </c>
      <c r="C597" t="inlineStr">
        <is>
          <t>A9:A10</t>
        </is>
      </c>
      <c r="D597" t="inlineStr">
        <is>
          <t>C</t>
        </is>
      </c>
      <c r="E597" s="367" t="n"/>
    </row>
    <row r="598">
      <c r="A598" s="366" t="inlineStr">
        <is>
          <t>crit4</t>
        </is>
      </c>
      <c r="B598" t="n">
        <v>621</v>
      </c>
      <c r="C598" t="inlineStr">
        <is>
          <t>A13:A14</t>
        </is>
      </c>
      <c r="D598" t="inlineStr">
        <is>
          <t>D</t>
        </is>
      </c>
      <c r="E598" s="367" t="n"/>
    </row>
    <row r="599">
      <c r="A599" s="366" t="inlineStr">
        <is>
          <t>crit5</t>
        </is>
      </c>
      <c r="B599" t="n">
        <v>625</v>
      </c>
      <c r="C599" t="inlineStr">
        <is>
          <t>A17:A18</t>
        </is>
      </c>
      <c r="D599" t="inlineStr">
        <is>
          <t>E</t>
        </is>
      </c>
      <c r="E599" s="367" t="n"/>
    </row>
    <row r="600">
      <c r="A600" s="366" t="n"/>
      <c r="E600" s="367" t="n"/>
    </row>
    <row r="601">
      <c r="A601" s="366" t="n"/>
      <c r="E601" s="367" t="n"/>
    </row>
    <row r="602">
      <c r="A602" s="366" t="n"/>
      <c r="E602" s="367" t="n"/>
    </row>
    <row r="603">
      <c r="A603" s="366" t="n"/>
      <c r="E603" s="367" t="n"/>
    </row>
    <row r="604">
      <c r="A604" s="366" t="n"/>
      <c r="E604" s="367" t="n"/>
    </row>
    <row r="605">
      <c r="A605" s="366" t="n"/>
      <c r="E605" s="367" t="n"/>
    </row>
    <row r="606">
      <c r="A606" s="366" t="n"/>
      <c r="E606" s="367" t="n"/>
    </row>
    <row r="607">
      <c r="A607" s="366" t="n"/>
      <c r="E607" s="367" t="n"/>
    </row>
    <row r="608">
      <c r="A608" s="366" t="inlineStr">
        <is>
          <t>PIN</t>
        </is>
      </c>
      <c r="B608" t="inlineStr">
        <is>
          <t>PIN</t>
        </is>
      </c>
      <c r="E608" s="367" t="n"/>
    </row>
    <row r="609">
      <c r="A609" s="366" t="inlineStr">
        <is>
          <t>&lt;&gt;A??????????</t>
        </is>
      </c>
      <c r="B609" t="inlineStr">
        <is>
          <t>&lt;&gt;P??????????</t>
        </is>
      </c>
      <c r="E609" s="367" t="n"/>
    </row>
    <row r="610">
      <c r="A610" s="368" t="inlineStr">
        <is>
          <t>'Pin of Withholder' contains invalid value in following row(s):</t>
        </is>
      </c>
      <c r="E610" s="367" t="n"/>
    </row>
    <row r="611">
      <c r="A611" s="366" t="n"/>
      <c r="E611" s="367" t="n"/>
    </row>
    <row r="612">
      <c r="A612" s="366" t="inlineStr">
        <is>
          <t>Name</t>
        </is>
      </c>
      <c r="E612" s="367" t="n"/>
    </row>
    <row r="613">
      <c r="A613" s="366">
        <f>"=???????????????????????????????????????????????????*"</f>
        <v/>
      </c>
      <c r="E613" s="367" t="n"/>
    </row>
    <row r="614">
      <c r="A614" s="368" t="inlineStr">
        <is>
          <t xml:space="preserve">'Name of Witholder should be of length less than or equal to 50 characters in row(s): </t>
        </is>
      </c>
      <c r="E614" s="367" t="n"/>
    </row>
    <row r="615">
      <c r="A615" s="366" t="n"/>
      <c r="E615" s="367" t="n"/>
    </row>
    <row r="616">
      <c r="A616" s="366" t="inlineStr">
        <is>
          <t>CertiNo</t>
        </is>
      </c>
      <c r="E616" s="367" t="n"/>
    </row>
    <row r="617">
      <c r="A617" s="366">
        <f>"=???????????????????????????????????????????????????*"</f>
        <v/>
      </c>
      <c r="E617" s="367" t="n"/>
    </row>
    <row r="618">
      <c r="A618" s="368" t="inlineStr">
        <is>
          <t xml:space="preserve">'Withholding Certificate Number should be of length less than or equal to 50 characters in row(s): </t>
        </is>
      </c>
      <c r="E618" s="367" t="n"/>
    </row>
    <row r="619">
      <c r="A619" s="366" t="n"/>
      <c r="E619" s="367" t="n"/>
    </row>
    <row r="620">
      <c r="A620" s="366" t="inlineStr">
        <is>
          <t>Date</t>
        </is>
      </c>
      <c r="E620" s="367" t="n"/>
    </row>
    <row r="621">
      <c r="A621" s="368" t="inlineStr">
        <is>
          <t>=???????????*</t>
        </is>
      </c>
      <c r="E621" s="367" t="n"/>
    </row>
    <row r="622">
      <c r="A622" s="368" t="inlineStr">
        <is>
          <t>"Please enter date value in dd/mm/yyyy format.</t>
        </is>
      </c>
      <c r="E622" s="367" t="n"/>
    </row>
    <row r="623">
      <c r="A623" s="366" t="n"/>
      <c r="E623" s="367" t="n"/>
    </row>
    <row r="624">
      <c r="A624" s="366" t="inlineStr">
        <is>
          <t>Amount</t>
        </is>
      </c>
      <c r="E624" s="367" t="n"/>
    </row>
    <row r="625">
      <c r="A625" s="366" t="inlineStr">
        <is>
          <t>=</t>
        </is>
      </c>
      <c r="E625" s="367" t="n"/>
    </row>
    <row r="626">
      <c r="A626" s="368" t="inlineStr">
        <is>
          <t xml:space="preserve">Amount of Tax Withheld' should contain value in following row(s) : </t>
        </is>
      </c>
      <c r="E626" s="367" t="n"/>
    </row>
    <row r="627">
      <c r="A627" s="366" t="n"/>
      <c r="E627" s="367" t="n"/>
    </row>
    <row r="628">
      <c r="A628" s="366" t="n"/>
      <c r="E628" s="367" t="n"/>
    </row>
    <row r="629">
      <c r="A629" s="366" t="n"/>
      <c r="E629" s="367" t="n"/>
    </row>
    <row r="630">
      <c r="A630" s="368" t="n"/>
      <c r="E630" s="367" t="n"/>
    </row>
    <row r="631">
      <c r="A631" s="368" t="n"/>
      <c r="E631" s="367" t="n"/>
    </row>
    <row r="632">
      <c r="A632" s="368" t="n"/>
      <c r="E632" s="367" t="n"/>
    </row>
    <row r="633">
      <c r="A633" s="368" t="n"/>
      <c r="E633" s="367" t="n"/>
    </row>
    <row r="634">
      <c r="A634" s="368" t="n"/>
      <c r="E634" s="367" t="n"/>
    </row>
    <row r="635">
      <c r="A635" s="368" t="n"/>
      <c r="E635" s="367" t="n"/>
    </row>
    <row r="636">
      <c r="A636" s="368" t="n"/>
      <c r="E636" s="367" t="n"/>
    </row>
    <row r="637">
      <c r="A637" s="366" t="n"/>
      <c r="E637" s="367" t="n"/>
    </row>
    <row r="638" ht="16" customHeight="1" s="486">
      <c r="A638" s="382" t="inlineStr">
        <is>
          <t>PIN</t>
        </is>
      </c>
      <c r="B638" s="382" t="inlineStr">
        <is>
          <t>Name</t>
        </is>
      </c>
      <c r="C638" s="382" t="inlineStr">
        <is>
          <t>CertiNo</t>
        </is>
      </c>
      <c r="D638" s="382" t="inlineStr">
        <is>
          <t>Date</t>
        </is>
      </c>
      <c r="E638" s="384" t="inlineStr">
        <is>
          <t>Amount</t>
        </is>
      </c>
    </row>
    <row r="639" ht="17.25" customHeight="1" s="486" thickBot="1">
      <c r="A639" s="487" t="inlineStr">
        <is>
          <t>O_WHT_Credits Ends Here</t>
        </is>
      </c>
      <c r="B639" s="488" t="n"/>
      <c r="C639" s="488" t="n"/>
      <c r="D639" s="488" t="n"/>
      <c r="E639" s="489" t="n"/>
    </row>
    <row r="640">
      <c r="A640" s="361" t="n"/>
    </row>
    <row r="641">
      <c r="A641" s="361" t="n"/>
    </row>
    <row r="642">
      <c r="A642" s="362" t="n"/>
    </row>
    <row r="643">
      <c r="A643" s="362" t="n"/>
    </row>
    <row r="644">
      <c r="A644" s="362" t="n"/>
    </row>
    <row r="645">
      <c r="A645" s="362" t="n"/>
    </row>
    <row r="646">
      <c r="A646" s="362" t="n"/>
    </row>
    <row r="647">
      <c r="A647" s="362" t="n"/>
    </row>
    <row r="648">
      <c r="A648" s="362" t="n"/>
    </row>
    <row r="649">
      <c r="A649" s="361" t="n"/>
    </row>
    <row r="650">
      <c r="A650" s="361" t="n"/>
    </row>
    <row r="651">
      <c r="A651" s="362" t="n"/>
    </row>
    <row r="652">
      <c r="A652" s="362" t="n"/>
    </row>
    <row r="653">
      <c r="A653" s="362" t="n"/>
    </row>
    <row r="654">
      <c r="A654" s="362" t="n"/>
    </row>
    <row r="655">
      <c r="A655" s="362" t="n"/>
    </row>
    <row r="656">
      <c r="A656" s="361" t="n"/>
    </row>
    <row r="657">
      <c r="A657" s="361" t="n"/>
    </row>
    <row r="658" ht="16" customHeight="1" s="486" thickBot="1"/>
    <row r="659">
      <c r="A659" s="363" t="inlineStr">
        <is>
          <t>For Section P_Advance_Tax_Credits</t>
        </is>
      </c>
      <c r="B659" s="364" t="n"/>
      <c r="C659" s="364" t="n"/>
      <c r="D659" s="364" t="n"/>
      <c r="E659" s="364" t="n"/>
      <c r="F659" s="365" t="n"/>
    </row>
    <row r="660">
      <c r="A660" s="366" t="inlineStr">
        <is>
          <t>Criteria</t>
        </is>
      </c>
      <c r="B660" t="inlineStr">
        <is>
          <t>EndRow</t>
        </is>
      </c>
      <c r="C660" t="inlineStr">
        <is>
          <t>criteriaRange</t>
        </is>
      </c>
      <c r="D660" t="inlineStr">
        <is>
          <t>HightLight Cell Column</t>
        </is>
      </c>
      <c r="F660" s="367" t="n"/>
    </row>
    <row r="661">
      <c r="A661" s="366" t="inlineStr">
        <is>
          <t>crit1</t>
        </is>
      </c>
      <c r="B661" t="n">
        <v>676</v>
      </c>
      <c r="C661" t="inlineStr">
        <is>
          <t>A1:A2</t>
        </is>
      </c>
      <c r="D661" t="inlineStr">
        <is>
          <t>A</t>
        </is>
      </c>
      <c r="F661" s="367" t="n"/>
    </row>
    <row r="662">
      <c r="A662" s="366" t="inlineStr">
        <is>
          <t>crit2</t>
        </is>
      </c>
      <c r="B662" t="n">
        <v>680</v>
      </c>
      <c r="C662" t="inlineStr">
        <is>
          <t>A5:A6</t>
        </is>
      </c>
      <c r="D662" t="inlineStr">
        <is>
          <t>B</t>
        </is>
      </c>
      <c r="F662" s="367" t="n"/>
    </row>
    <row r="663">
      <c r="A663" s="366" t="inlineStr">
        <is>
          <t>crit3</t>
        </is>
      </c>
      <c r="B663" t="n">
        <v>684</v>
      </c>
      <c r="C663" t="inlineStr">
        <is>
          <t>A9:B10</t>
        </is>
      </c>
      <c r="D663" t="inlineStr">
        <is>
          <t>C</t>
        </is>
      </c>
      <c r="F663" s="367" t="n"/>
    </row>
    <row r="664">
      <c r="A664" s="366" t="inlineStr">
        <is>
          <t>crit4</t>
        </is>
      </c>
      <c r="B664" t="n">
        <v>688</v>
      </c>
      <c r="C664" t="inlineStr">
        <is>
          <t>A13:B14</t>
        </is>
      </c>
      <c r="D664" t="inlineStr">
        <is>
          <t>D</t>
        </is>
      </c>
      <c r="F664" s="367" t="n"/>
    </row>
    <row r="665">
      <c r="A665" s="366" t="inlineStr">
        <is>
          <t>crit5</t>
        </is>
      </c>
      <c r="B665" t="n">
        <v>692</v>
      </c>
      <c r="C665" t="inlineStr">
        <is>
          <t>A17:B18</t>
        </is>
      </c>
      <c r="D665" t="inlineStr">
        <is>
          <t>E</t>
        </is>
      </c>
      <c r="F665" s="367" t="n"/>
    </row>
    <row r="666">
      <c r="A666" s="366" t="inlineStr">
        <is>
          <t>crit6</t>
        </is>
      </c>
      <c r="B666" t="n">
        <v>696</v>
      </c>
      <c r="C666" t="inlineStr">
        <is>
          <t>A21:B22</t>
        </is>
      </c>
      <c r="D666" t="inlineStr">
        <is>
          <t>D</t>
        </is>
      </c>
      <c r="F666" s="367" t="n"/>
    </row>
    <row r="667">
      <c r="A667" s="366" t="inlineStr">
        <is>
          <t>crit7</t>
        </is>
      </c>
      <c r="B667" t="n">
        <v>700</v>
      </c>
      <c r="C667" t="inlineStr">
        <is>
          <t>A25:B26</t>
        </is>
      </c>
      <c r="D667" t="inlineStr">
        <is>
          <t>E</t>
        </is>
      </c>
      <c r="F667" s="367" t="n"/>
    </row>
    <row r="668">
      <c r="A668" s="366" t="n"/>
      <c r="F668" s="367" t="n"/>
    </row>
    <row r="669">
      <c r="A669" s="366" t="n"/>
      <c r="F669" s="367" t="n"/>
    </row>
    <row r="670">
      <c r="A670" s="366" t="n"/>
      <c r="F670" s="367" t="n"/>
    </row>
    <row r="671">
      <c r="A671" s="366" t="n"/>
      <c r="F671" s="367" t="n"/>
    </row>
    <row r="672">
      <c r="A672" s="366" t="n"/>
      <c r="F672" s="367" t="n"/>
    </row>
    <row r="673">
      <c r="A673" s="366" t="n"/>
      <c r="F673" s="367" t="n"/>
    </row>
    <row r="674">
      <c r="A674" s="366" t="n"/>
      <c r="F674" s="367" t="n"/>
    </row>
    <row r="675">
      <c r="A675" s="366" t="inlineStr">
        <is>
          <t>VRegNo</t>
        </is>
      </c>
      <c r="F675" s="367" t="n"/>
    </row>
    <row r="676">
      <c r="A676" s="366">
        <f>"=???????????????????????????????????????????????????*"</f>
        <v/>
      </c>
      <c r="F676" s="367" t="n"/>
    </row>
    <row r="677">
      <c r="A677" s="368" t="inlineStr">
        <is>
          <t xml:space="preserve">Vehicle Registration Number should be of length less than or equal to 50 characters in row(s): </t>
        </is>
      </c>
      <c r="F677" s="367" t="n"/>
    </row>
    <row r="678">
      <c r="A678" s="366" t="n"/>
      <c r="F678" s="367" t="n"/>
    </row>
    <row r="679">
      <c r="A679" s="366" t="inlineStr">
        <is>
          <t>BodyType</t>
        </is>
      </c>
      <c r="F679" s="367" t="n"/>
    </row>
    <row r="680">
      <c r="A680" s="366">
        <f>"=???????????????????????????????????????????????????*"</f>
        <v/>
      </c>
      <c r="F680" s="367" t="n"/>
    </row>
    <row r="681">
      <c r="A681" s="368" t="inlineStr">
        <is>
          <t xml:space="preserve">'Body Type should be of length less than or equal to 50 characters in row(s): </t>
        </is>
      </c>
      <c r="F681" s="367" t="n"/>
    </row>
    <row r="682">
      <c r="A682" s="366" t="n"/>
      <c r="F682" s="367" t="n"/>
    </row>
    <row r="683">
      <c r="A683" s="366" t="inlineStr">
        <is>
          <t>Usage</t>
        </is>
      </c>
      <c r="B683" t="inlineStr">
        <is>
          <t>Usage</t>
        </is>
      </c>
      <c r="F683" s="367" t="n"/>
    </row>
    <row r="684">
      <c r="A684" s="366" t="inlineStr">
        <is>
          <t>&lt;&gt;Van, Pick-ups, Trucks, Lorries</t>
        </is>
      </c>
      <c r="B684" t="inlineStr">
        <is>
          <t>&lt;&gt;Saloons, Station-Wagons, Minibuses, Buses, Coaches</t>
        </is>
      </c>
      <c r="F684" s="367" t="n"/>
    </row>
    <row r="685">
      <c r="A685" s="368" t="inlineStr">
        <is>
          <t xml:space="preserve">Usage' should contain value 'Van, Pick-ups, Trucks, Lorries' or 'Saloons, Station-Wagons, Minibuses, Buses, Coaches' in following row(s) : </t>
        </is>
      </c>
      <c r="F685" s="367" t="n"/>
    </row>
    <row r="686">
      <c r="A686" s="366" t="n"/>
      <c r="F686" s="367" t="n"/>
    </row>
    <row r="687">
      <c r="A687" s="366" t="inlineStr">
        <is>
          <t>Usage</t>
        </is>
      </c>
      <c r="B687" t="inlineStr">
        <is>
          <t>Load</t>
        </is>
      </c>
      <c r="F687" s="367" t="n"/>
    </row>
    <row r="688">
      <c r="A688" s="366">
        <f>"=Van, Pick-ups, Trucks, Lorries"</f>
        <v/>
      </c>
      <c r="B688" t="inlineStr">
        <is>
          <t>=</t>
        </is>
      </c>
      <c r="F688" s="367" t="n"/>
    </row>
    <row r="689">
      <c r="A689" s="366" t="inlineStr">
        <is>
          <t xml:space="preserve">As 'Usage' contains value 'Van, Pick-ups, Trucks, Lorries', 'Load Capacity' should contain value in following row(s) : </t>
        </is>
      </c>
      <c r="F689" s="367" t="n"/>
    </row>
    <row r="690">
      <c r="A690" s="366" t="n"/>
      <c r="F690" s="367" t="n"/>
    </row>
    <row r="691">
      <c r="A691" s="366" t="inlineStr">
        <is>
          <t>Usage</t>
        </is>
      </c>
      <c r="B691" t="inlineStr">
        <is>
          <t>Seating</t>
        </is>
      </c>
      <c r="F691" s="367" t="n"/>
    </row>
    <row r="692">
      <c r="A692" s="366">
        <f>"=Van, Pick-ups, Trucks, Lorries"</f>
        <v/>
      </c>
      <c r="B692" t="inlineStr">
        <is>
          <t>&lt;&gt;</t>
        </is>
      </c>
      <c r="F692" s="367" t="n"/>
    </row>
    <row r="693">
      <c r="A693" s="366" t="inlineStr">
        <is>
          <t xml:space="preserve">As 'Usage' contains value 'Van, Pick-ups, Trucks, Lorries', 'Seating Capacity Passenger' should be blank in following row(s) : </t>
        </is>
      </c>
      <c r="F693" s="367" t="n"/>
    </row>
    <row r="694">
      <c r="A694" s="366" t="n"/>
      <c r="F694" s="367" t="n"/>
    </row>
    <row r="695">
      <c r="A695" s="366" t="inlineStr">
        <is>
          <t>Usage</t>
        </is>
      </c>
      <c r="B695" t="inlineStr">
        <is>
          <t>Load</t>
        </is>
      </c>
      <c r="F695" s="367" t="n"/>
    </row>
    <row r="696">
      <c r="A696" s="366">
        <f>"=Saloons, Station-Wagons, Minibuses, Buses, Coaches"</f>
        <v/>
      </c>
      <c r="B696" t="inlineStr">
        <is>
          <t>&lt;&gt;</t>
        </is>
      </c>
      <c r="F696" s="367" t="n"/>
    </row>
    <row r="697">
      <c r="A697" s="366" t="inlineStr">
        <is>
          <t xml:space="preserve">As 'Usage' contains value 'Saloons, Station-Wagons, Minibuses, Buses, Coaches', 'Load Capacity' should be blank in following row(s) : </t>
        </is>
      </c>
      <c r="F697" s="367" t="n"/>
    </row>
    <row r="698">
      <c r="A698" s="366" t="n"/>
      <c r="F698" s="367" t="n"/>
    </row>
    <row r="699">
      <c r="A699" s="366" t="inlineStr">
        <is>
          <t>Usage</t>
        </is>
      </c>
      <c r="B699" t="inlineStr">
        <is>
          <t>Seating</t>
        </is>
      </c>
      <c r="F699" s="367" t="n"/>
    </row>
    <row r="700">
      <c r="A700" s="366">
        <f>"=Saloons, Station-Wagons, Minibuses, Buses, Coaches"</f>
        <v/>
      </c>
      <c r="B700" t="inlineStr">
        <is>
          <t>=</t>
        </is>
      </c>
      <c r="F700" s="367" t="n"/>
    </row>
    <row r="701">
      <c r="A701" s="366" t="inlineStr">
        <is>
          <t xml:space="preserve">As 'Usage' contains value 'Saloons, Station-Wagons, Minibuses, Buses, Coaches', 'Seating Capacity Passenger' should contain values in following row(s) : </t>
        </is>
      </c>
      <c r="F701" s="367" t="n"/>
    </row>
    <row r="702">
      <c r="A702" s="366" t="n"/>
      <c r="F702" s="367" t="n"/>
    </row>
    <row r="703">
      <c r="A703" s="368" t="n"/>
      <c r="F703" s="367" t="n"/>
    </row>
    <row r="704">
      <c r="A704" s="368" t="n"/>
      <c r="F704" s="367" t="n"/>
    </row>
    <row r="705">
      <c r="A705" s="368" t="n"/>
      <c r="F705" s="367" t="n"/>
    </row>
    <row r="706">
      <c r="A706" s="368" t="n"/>
      <c r="F706" s="367" t="n"/>
    </row>
    <row r="707">
      <c r="A707" s="368" t="n"/>
      <c r="F707" s="367" t="n"/>
    </row>
    <row r="708">
      <c r="A708" s="366" t="n"/>
      <c r="F708" s="367" t="n"/>
    </row>
    <row r="709">
      <c r="A709" s="368" t="n"/>
      <c r="F709" s="367" t="n"/>
    </row>
    <row r="710">
      <c r="A710" s="368" t="n"/>
      <c r="F710" s="367" t="n"/>
    </row>
    <row r="711">
      <c r="A711" s="368" t="n"/>
      <c r="F711" s="367" t="n"/>
    </row>
    <row r="712">
      <c r="A712" s="368" t="n"/>
      <c r="F712" s="367" t="n"/>
    </row>
    <row r="713">
      <c r="A713" s="368" t="n"/>
      <c r="F713" s="367" t="n"/>
    </row>
    <row r="714">
      <c r="A714" s="366" t="n"/>
      <c r="F714" s="367" t="n"/>
    </row>
    <row r="715" ht="16" customHeight="1" s="486">
      <c r="A715" s="382" t="inlineStr">
        <is>
          <t>VRegNo</t>
        </is>
      </c>
      <c r="B715" s="382" t="inlineStr">
        <is>
          <t>BodyType</t>
        </is>
      </c>
      <c r="C715" s="382" t="inlineStr">
        <is>
          <t>Usage</t>
        </is>
      </c>
      <c r="D715" s="382" t="inlineStr">
        <is>
          <t>Load</t>
        </is>
      </c>
      <c r="E715" s="382" t="inlineStr">
        <is>
          <t>Seating</t>
        </is>
      </c>
      <c r="F715" s="384" t="inlineStr">
        <is>
          <t>Amount</t>
        </is>
      </c>
    </row>
    <row r="716" ht="17.25" customHeight="1" s="486" thickBot="1">
      <c r="A716" s="487" t="inlineStr">
        <is>
          <t>P_Advance_Tax_Credits Ends Here</t>
        </is>
      </c>
      <c r="B716" s="488" t="n"/>
      <c r="C716" s="488" t="n"/>
      <c r="D716" s="488" t="n"/>
      <c r="E716" s="488" t="n"/>
      <c r="F716" s="489" t="n"/>
    </row>
    <row r="717">
      <c r="A717" s="387" t="inlineStr">
        <is>
          <t>B_Profit_Loss_Account-Part 1</t>
        </is>
      </c>
      <c r="B717" s="509" t="n"/>
      <c r="C717" s="509" t="n"/>
      <c r="D717" s="509" t="n"/>
      <c r="E717" s="509" t="n"/>
      <c r="F717" s="509" t="n"/>
      <c r="G717" s="509" t="n"/>
      <c r="H717" s="509" t="n"/>
      <c r="I717" s="509" t="n"/>
      <c r="J717" s="389" t="n"/>
    </row>
    <row r="718">
      <c r="A718" s="361" t="inlineStr">
        <is>
          <t>Criteria</t>
        </is>
      </c>
      <c r="B718" t="inlineStr">
        <is>
          <t>EndRow</t>
        </is>
      </c>
      <c r="C718" t="inlineStr">
        <is>
          <t>criteriaRange</t>
        </is>
      </c>
      <c r="D718" t="inlineStr">
        <is>
          <t>HightLight Cell Column</t>
        </is>
      </c>
      <c r="J718" s="538" t="n"/>
    </row>
    <row r="719">
      <c r="A719" s="361" t="inlineStr">
        <is>
          <t>crit1</t>
        </is>
      </c>
      <c r="B719" t="n">
        <v>440</v>
      </c>
      <c r="C719" t="inlineStr">
        <is>
          <t>A1:A2</t>
        </is>
      </c>
      <c r="D719" t="inlineStr">
        <is>
          <t>B</t>
        </is>
      </c>
      <c r="J719" s="538" t="n"/>
    </row>
    <row r="720">
      <c r="A720" s="361" t="inlineStr">
        <is>
          <t>crit2</t>
        </is>
      </c>
      <c r="B720" t="n">
        <v>444</v>
      </c>
      <c r="C720" t="inlineStr">
        <is>
          <t>A5:A6</t>
        </is>
      </c>
      <c r="D720" t="inlineStr">
        <is>
          <t>C</t>
        </is>
      </c>
      <c r="J720" s="538" t="n"/>
    </row>
    <row r="721">
      <c r="A721" s="361" t="inlineStr">
        <is>
          <t>crit3</t>
        </is>
      </c>
      <c r="B721" t="n">
        <v>448</v>
      </c>
      <c r="C721" t="inlineStr">
        <is>
          <t>A9:A10</t>
        </is>
      </c>
      <c r="D721" t="inlineStr">
        <is>
          <t>D</t>
        </is>
      </c>
      <c r="J721" s="538" t="n"/>
    </row>
    <row r="722">
      <c r="A722" s="361" t="inlineStr">
        <is>
          <t>crit4</t>
        </is>
      </c>
      <c r="B722" t="n">
        <v>452</v>
      </c>
      <c r="C722" t="inlineStr">
        <is>
          <t>A13:A14</t>
        </is>
      </c>
      <c r="D722" t="inlineStr">
        <is>
          <t>E</t>
        </is>
      </c>
      <c r="J722" s="538" t="n"/>
    </row>
    <row r="723">
      <c r="A723" s="361" t="inlineStr">
        <is>
          <t>crit5</t>
        </is>
      </c>
      <c r="B723" t="n">
        <v>456</v>
      </c>
      <c r="C723" t="inlineStr">
        <is>
          <t>A17:A18</t>
        </is>
      </c>
      <c r="D723" t="inlineStr">
        <is>
          <t>F</t>
        </is>
      </c>
      <c r="J723" s="538" t="n"/>
    </row>
    <row r="724">
      <c r="A724" s="361" t="inlineStr">
        <is>
          <t>crit6</t>
        </is>
      </c>
      <c r="B724" t="n">
        <v>460</v>
      </c>
      <c r="C724" t="inlineStr">
        <is>
          <t>A21:A22</t>
        </is>
      </c>
      <c r="D724" t="inlineStr">
        <is>
          <t>G</t>
        </is>
      </c>
      <c r="J724" s="538" t="n"/>
    </row>
    <row r="725">
      <c r="A725" s="361" t="inlineStr">
        <is>
          <t>crit7</t>
        </is>
      </c>
      <c r="B725" t="n">
        <v>464</v>
      </c>
      <c r="C725" t="inlineStr">
        <is>
          <t>A25:A26</t>
        </is>
      </c>
      <c r="D725" t="inlineStr">
        <is>
          <t>H</t>
        </is>
      </c>
      <c r="J725" s="538" t="n"/>
    </row>
    <row r="726">
      <c r="A726" s="361" t="n"/>
      <c r="J726" s="538" t="n"/>
    </row>
    <row r="727">
      <c r="A727" s="361" t="n"/>
      <c r="J727" s="538" t="n"/>
    </row>
    <row r="728">
      <c r="A728" s="361" t="n"/>
      <c r="J728" s="538" t="n"/>
    </row>
    <row r="729">
      <c r="A729" s="361" t="n"/>
      <c r="J729" s="538" t="n"/>
    </row>
    <row r="730">
      <c r="A730" s="361" t="n"/>
      <c r="J730" s="538" t="n"/>
    </row>
    <row r="731">
      <c r="A731" s="361" t="n"/>
      <c r="J731" s="538" t="n"/>
    </row>
    <row r="732">
      <c r="A732" t="inlineStr">
        <is>
          <t>Name</t>
        </is>
      </c>
      <c r="J732" s="538" t="n"/>
    </row>
    <row r="733">
      <c r="A733" s="361">
        <f>"=???????????????????????????????????????????????????*"</f>
        <v/>
      </c>
      <c r="J733" s="538" t="n"/>
    </row>
    <row r="734">
      <c r="A734" s="362" t="inlineStr">
        <is>
          <t xml:space="preserve">'Name of Expense' should be of length less than or equal to 50 characters in row(s): </t>
        </is>
      </c>
      <c r="J734" s="538" t="n"/>
    </row>
    <row r="735">
      <c r="A735" s="361" t="n"/>
      <c r="J735" s="538" t="n"/>
    </row>
    <row r="736">
      <c r="A736" t="inlineStr">
        <is>
          <t>Business</t>
        </is>
      </c>
      <c r="J736" s="538" t="n"/>
    </row>
    <row r="737">
      <c r="A737" s="361" t="inlineStr">
        <is>
          <t>=</t>
        </is>
      </c>
      <c r="J737" s="538" t="n"/>
    </row>
    <row r="738">
      <c r="A738" s="362" t="inlineStr">
        <is>
          <t xml:space="preserve">Business' should contain value in following row(s) : </t>
        </is>
      </c>
      <c r="J738" s="538" t="n"/>
    </row>
    <row r="739">
      <c r="A739" s="361" t="n"/>
      <c r="J739" s="538" t="n"/>
    </row>
    <row r="740">
      <c r="A740" t="inlineStr">
        <is>
          <t>Farming</t>
        </is>
      </c>
      <c r="J740" s="538" t="n"/>
    </row>
    <row r="741">
      <c r="A741" s="361" t="inlineStr">
        <is>
          <t>=</t>
        </is>
      </c>
      <c r="J741" s="538" t="n"/>
    </row>
    <row r="742">
      <c r="A742" s="362" t="inlineStr">
        <is>
          <t xml:space="preserve">Farming' should contain value in following row(s) : </t>
        </is>
      </c>
      <c r="J742" s="538" t="n"/>
    </row>
    <row r="743">
      <c r="A743" s="361" t="n"/>
      <c r="J743" s="538" t="n"/>
    </row>
    <row r="744">
      <c r="A744" t="inlineStr">
        <is>
          <t>Rental</t>
        </is>
      </c>
      <c r="J744" s="538" t="n"/>
    </row>
    <row r="745">
      <c r="A745" s="361" t="inlineStr">
        <is>
          <t>=</t>
        </is>
      </c>
      <c r="J745" s="538" t="n"/>
    </row>
    <row r="746">
      <c r="A746" s="362" t="inlineStr">
        <is>
          <t xml:space="preserve">Rental' should contain value in following row(s) : </t>
        </is>
      </c>
      <c r="J746" s="538" t="n"/>
    </row>
    <row r="747">
      <c r="A747" s="361" t="n"/>
      <c r="J747" s="538" t="n"/>
    </row>
    <row r="748">
      <c r="A748" t="inlineStr">
        <is>
          <t>Interest</t>
        </is>
      </c>
      <c r="J748" s="538" t="n"/>
    </row>
    <row r="749">
      <c r="A749" s="361" t="inlineStr">
        <is>
          <t>=</t>
        </is>
      </c>
      <c r="J749" s="538" t="n"/>
    </row>
    <row r="750">
      <c r="A750" s="362" t="inlineStr">
        <is>
          <t xml:space="preserve">Interest' should contain value in following row(s) : </t>
        </is>
      </c>
      <c r="J750" s="538" t="n"/>
    </row>
    <row r="751">
      <c r="A751" s="361" t="n"/>
      <c r="J751" s="538" t="n"/>
    </row>
    <row r="752">
      <c r="A752" t="inlineStr">
        <is>
          <t>Commission</t>
        </is>
      </c>
      <c r="J752" s="538" t="n"/>
    </row>
    <row r="753">
      <c r="A753" s="361" t="inlineStr">
        <is>
          <t>=</t>
        </is>
      </c>
      <c r="J753" s="538" t="n"/>
    </row>
    <row r="754">
      <c r="A754" s="362" t="inlineStr">
        <is>
          <t xml:space="preserve">Commission' should contain value in following row(s) : </t>
        </is>
      </c>
      <c r="J754" s="538" t="n"/>
    </row>
    <row r="755">
      <c r="A755" s="361" t="n"/>
      <c r="J755" s="538" t="n"/>
    </row>
    <row r="756">
      <c r="A756" t="inlineStr">
        <is>
          <t>Other</t>
        </is>
      </c>
      <c r="J756" s="538" t="n"/>
    </row>
    <row r="757">
      <c r="A757" s="361" t="inlineStr">
        <is>
          <t>=</t>
        </is>
      </c>
      <c r="B757" s="391" t="n"/>
      <c r="J757" s="538" t="n"/>
    </row>
    <row r="758">
      <c r="A758" s="362" t="inlineStr">
        <is>
          <t xml:space="preserve">Other' should contain value in following row(s) : </t>
        </is>
      </c>
      <c r="J758" s="538" t="n"/>
    </row>
    <row r="759">
      <c r="A759" s="362" t="n"/>
      <c r="J759" s="538" t="n"/>
    </row>
    <row r="760">
      <c r="A760" s="362" t="n"/>
      <c r="J760" s="538" t="n"/>
    </row>
    <row r="761">
      <c r="A761" s="362" t="n"/>
      <c r="J761" s="538" t="n"/>
    </row>
    <row r="762">
      <c r="A762" s="362" t="n"/>
      <c r="J762" s="538" t="n"/>
    </row>
    <row r="763">
      <c r="A763" s="362" t="n"/>
      <c r="J763" s="538" t="n"/>
    </row>
    <row r="764">
      <c r="A764" s="361" t="n"/>
      <c r="J764" s="538" t="n"/>
    </row>
    <row r="765">
      <c r="A765" s="392" t="inlineStr">
        <is>
          <t>Name</t>
        </is>
      </c>
      <c r="B765" s="392" t="inlineStr">
        <is>
          <t>Business</t>
        </is>
      </c>
      <c r="C765" s="392" t="inlineStr">
        <is>
          <t>Farming</t>
        </is>
      </c>
      <c r="D765" s="392" t="inlineStr">
        <is>
          <t>Rental</t>
        </is>
      </c>
      <c r="E765" s="392" t="inlineStr">
        <is>
          <t>Interest</t>
        </is>
      </c>
      <c r="F765" s="392" t="inlineStr">
        <is>
          <t>Commission</t>
        </is>
      </c>
      <c r="G765" s="392" t="inlineStr">
        <is>
          <t>Other</t>
        </is>
      </c>
      <c r="J765" s="538" t="n"/>
    </row>
    <row r="766">
      <c r="A766" s="361" t="n"/>
      <c r="J766" s="538" t="n"/>
    </row>
    <row r="767">
      <c r="A767" s="393" t="n"/>
      <c r="B767" s="514" t="n"/>
      <c r="C767" s="514" t="n"/>
      <c r="D767" s="514" t="n"/>
      <c r="E767" s="514" t="n"/>
      <c r="F767" s="514" t="n"/>
      <c r="G767" s="514" t="n"/>
      <c r="H767" s="514" t="n"/>
      <c r="I767" s="514" t="n"/>
      <c r="J767" s="515" t="n"/>
    </row>
    <row r="768">
      <c r="A768" s="387" t="inlineStr">
        <is>
          <t>B_Profit_Loss_Account-Part2</t>
        </is>
      </c>
      <c r="B768" s="509" t="n"/>
      <c r="C768" s="509" t="n"/>
      <c r="D768" s="509" t="n"/>
      <c r="E768" s="509" t="n"/>
      <c r="F768" s="509" t="n"/>
      <c r="G768" s="509" t="n"/>
      <c r="H768" s="509" t="n"/>
      <c r="I768" s="509" t="n"/>
      <c r="J768" s="389" t="n"/>
    </row>
    <row r="769">
      <c r="A769" s="361" t="inlineStr">
        <is>
          <t>Criteria</t>
        </is>
      </c>
      <c r="B769" t="inlineStr">
        <is>
          <t>EndRow</t>
        </is>
      </c>
      <c r="C769" t="inlineStr">
        <is>
          <t>criteriaRange</t>
        </is>
      </c>
      <c r="D769" t="inlineStr">
        <is>
          <t>HightLight Cell Column</t>
        </is>
      </c>
      <c r="J769" s="538" t="n"/>
    </row>
    <row r="770">
      <c r="A770" s="361" t="inlineStr">
        <is>
          <t>crit1</t>
        </is>
      </c>
      <c r="B770" t="n">
        <v>491</v>
      </c>
      <c r="C770" t="inlineStr">
        <is>
          <t>A1:A2</t>
        </is>
      </c>
      <c r="D770" t="inlineStr">
        <is>
          <t>B</t>
        </is>
      </c>
      <c r="J770" s="538" t="n"/>
    </row>
    <row r="771">
      <c r="A771" s="361" t="inlineStr">
        <is>
          <t>crit2</t>
        </is>
      </c>
      <c r="B771" t="n">
        <v>495</v>
      </c>
      <c r="C771" t="inlineStr">
        <is>
          <t>A5:A6</t>
        </is>
      </c>
      <c r="D771" t="inlineStr">
        <is>
          <t>C</t>
        </is>
      </c>
      <c r="J771" s="538" t="n"/>
    </row>
    <row r="772">
      <c r="A772" s="361" t="inlineStr">
        <is>
          <t>crit3</t>
        </is>
      </c>
      <c r="B772" t="n">
        <v>499</v>
      </c>
      <c r="C772" t="inlineStr">
        <is>
          <t>A9:A10</t>
        </is>
      </c>
      <c r="D772" t="inlineStr">
        <is>
          <t>D</t>
        </is>
      </c>
      <c r="J772" s="538" t="n"/>
    </row>
    <row r="773">
      <c r="A773" s="361" t="inlineStr">
        <is>
          <t>crit4</t>
        </is>
      </c>
      <c r="B773" t="n">
        <v>503</v>
      </c>
      <c r="C773" t="inlineStr">
        <is>
          <t>A13:A14</t>
        </is>
      </c>
      <c r="D773" t="inlineStr">
        <is>
          <t>E</t>
        </is>
      </c>
      <c r="J773" s="538" t="n"/>
    </row>
    <row r="774">
      <c r="A774" s="361" t="inlineStr">
        <is>
          <t>crit5</t>
        </is>
      </c>
      <c r="B774" t="n">
        <v>507</v>
      </c>
      <c r="C774" t="inlineStr">
        <is>
          <t>A17:A18</t>
        </is>
      </c>
      <c r="D774" t="inlineStr">
        <is>
          <t>F</t>
        </is>
      </c>
      <c r="J774" s="538" t="n"/>
    </row>
    <row r="775">
      <c r="A775" s="361" t="inlineStr">
        <is>
          <t>crit6</t>
        </is>
      </c>
      <c r="B775" t="n">
        <v>511</v>
      </c>
      <c r="C775" t="inlineStr">
        <is>
          <t>A21:A22</t>
        </is>
      </c>
      <c r="D775" t="inlineStr">
        <is>
          <t>G</t>
        </is>
      </c>
      <c r="J775" s="538" t="n"/>
    </row>
    <row r="776">
      <c r="A776" s="361" t="inlineStr">
        <is>
          <t>crit7</t>
        </is>
      </c>
      <c r="B776" t="n">
        <v>515</v>
      </c>
      <c r="C776" t="inlineStr">
        <is>
          <t>A25:A26</t>
        </is>
      </c>
      <c r="D776" t="inlineStr">
        <is>
          <t>H</t>
        </is>
      </c>
      <c r="J776" s="538" t="n"/>
    </row>
    <row r="777">
      <c r="A777" s="361" t="n"/>
      <c r="J777" s="538" t="n"/>
    </row>
    <row r="778">
      <c r="A778" s="361" t="n"/>
      <c r="J778" s="538" t="n"/>
    </row>
    <row r="779">
      <c r="A779" s="361" t="n"/>
      <c r="J779" s="538" t="n"/>
    </row>
    <row r="780">
      <c r="A780" s="361" t="n"/>
      <c r="J780" s="538" t="n"/>
    </row>
    <row r="781">
      <c r="A781" s="361" t="n"/>
      <c r="J781" s="538" t="n"/>
    </row>
    <row r="782">
      <c r="A782" s="361" t="n"/>
      <c r="J782" s="538" t="n"/>
    </row>
    <row r="783">
      <c r="A783" t="inlineStr">
        <is>
          <t>Name</t>
        </is>
      </c>
      <c r="J783" s="538" t="n"/>
    </row>
    <row r="784">
      <c r="A784" s="361">
        <f>"=???????????????????????????????????????????????????*"</f>
        <v/>
      </c>
      <c r="J784" s="538" t="n"/>
    </row>
    <row r="785">
      <c r="A785" s="362" t="inlineStr">
        <is>
          <t xml:space="preserve">'Name of Income' should be of length less than or equal to 50 characters in row(s): </t>
        </is>
      </c>
      <c r="J785" s="538" t="n"/>
    </row>
    <row r="786">
      <c r="A786" s="361" t="n"/>
      <c r="J786" s="538" t="n"/>
    </row>
    <row r="787">
      <c r="A787" t="inlineStr">
        <is>
          <t>Business</t>
        </is>
      </c>
      <c r="J787" s="538" t="n"/>
    </row>
    <row r="788">
      <c r="A788" s="361" t="inlineStr">
        <is>
          <t>=</t>
        </is>
      </c>
      <c r="J788" s="538" t="n"/>
    </row>
    <row r="789">
      <c r="A789" s="362" t="inlineStr">
        <is>
          <t xml:space="preserve">Business' should contain value in following row(s) : </t>
        </is>
      </c>
      <c r="J789" s="538" t="n"/>
    </row>
    <row r="790">
      <c r="A790" s="361" t="n"/>
      <c r="J790" s="538" t="n"/>
    </row>
    <row r="791">
      <c r="A791" t="inlineStr">
        <is>
          <t>Farming</t>
        </is>
      </c>
      <c r="J791" s="538" t="n"/>
    </row>
    <row r="792">
      <c r="A792" s="361" t="inlineStr">
        <is>
          <t>=</t>
        </is>
      </c>
      <c r="J792" s="538" t="n"/>
    </row>
    <row r="793">
      <c r="A793" s="362" t="inlineStr">
        <is>
          <t xml:space="preserve">Farming' should contain value in following row(s) : </t>
        </is>
      </c>
      <c r="J793" s="538" t="n"/>
    </row>
    <row r="794">
      <c r="A794" s="361" t="n"/>
      <c r="J794" s="538" t="n"/>
    </row>
    <row r="795">
      <c r="A795" t="inlineStr">
        <is>
          <t>Rental</t>
        </is>
      </c>
      <c r="J795" s="538" t="n"/>
    </row>
    <row r="796">
      <c r="A796" s="361" t="inlineStr">
        <is>
          <t>=</t>
        </is>
      </c>
      <c r="J796" s="538" t="n"/>
    </row>
    <row r="797">
      <c r="A797" s="362" t="inlineStr">
        <is>
          <t xml:space="preserve">Rental' should contain value in following row(s) : </t>
        </is>
      </c>
      <c r="J797" s="538" t="n"/>
    </row>
    <row r="798">
      <c r="A798" s="361" t="n"/>
      <c r="J798" s="538" t="n"/>
    </row>
    <row r="799">
      <c r="A799" t="inlineStr">
        <is>
          <t>Interest</t>
        </is>
      </c>
      <c r="J799" s="538" t="n"/>
    </row>
    <row r="800">
      <c r="A800" s="361" t="inlineStr">
        <is>
          <t>=</t>
        </is>
      </c>
      <c r="J800" s="538" t="n"/>
    </row>
    <row r="801">
      <c r="A801" s="362" t="inlineStr">
        <is>
          <t xml:space="preserve">Interest' should contain value in following row(s) : </t>
        </is>
      </c>
      <c r="J801" s="538" t="n"/>
    </row>
    <row r="802">
      <c r="A802" s="361" t="n"/>
      <c r="J802" s="538" t="n"/>
    </row>
    <row r="803">
      <c r="A803" t="inlineStr">
        <is>
          <t>Commission</t>
        </is>
      </c>
      <c r="J803" s="538" t="n"/>
    </row>
    <row r="804">
      <c r="A804" s="361" t="inlineStr">
        <is>
          <t>=</t>
        </is>
      </c>
      <c r="J804" s="538" t="n"/>
    </row>
    <row r="805">
      <c r="A805" s="362" t="inlineStr">
        <is>
          <t xml:space="preserve">Commission' should contain value in following row(s) : </t>
        </is>
      </c>
      <c r="J805" s="538" t="n"/>
    </row>
    <row r="806">
      <c r="A806" s="361" t="n"/>
      <c r="J806" s="538" t="n"/>
    </row>
    <row r="807">
      <c r="A807" t="inlineStr">
        <is>
          <t>Other</t>
        </is>
      </c>
      <c r="J807" s="538" t="n"/>
    </row>
    <row r="808">
      <c r="A808" s="361" t="inlineStr">
        <is>
          <t>=</t>
        </is>
      </c>
      <c r="B808" s="391" t="n"/>
      <c r="J808" s="538" t="n"/>
    </row>
    <row r="809">
      <c r="A809" s="362" t="inlineStr">
        <is>
          <t xml:space="preserve">Other' should contain value in following row(s) : </t>
        </is>
      </c>
      <c r="J809" s="538" t="n"/>
    </row>
    <row r="810">
      <c r="A810" s="362" t="n"/>
      <c r="J810" s="538" t="n"/>
    </row>
    <row r="811">
      <c r="A811" s="362" t="n"/>
      <c r="J811" s="538" t="n"/>
    </row>
    <row r="812">
      <c r="A812" s="362" t="n"/>
      <c r="J812" s="538" t="n"/>
    </row>
    <row r="813">
      <c r="A813" s="362" t="n"/>
      <c r="J813" s="538" t="n"/>
    </row>
    <row r="814">
      <c r="A814" s="362" t="n"/>
      <c r="J814" s="538" t="n"/>
    </row>
    <row r="815">
      <c r="A815" s="361" t="n"/>
      <c r="J815" s="538" t="n"/>
    </row>
    <row r="816">
      <c r="A816" s="392" t="inlineStr">
        <is>
          <t>Name</t>
        </is>
      </c>
      <c r="B816" s="392" t="inlineStr">
        <is>
          <t>Business</t>
        </is>
      </c>
      <c r="C816" s="392" t="inlineStr">
        <is>
          <t>Farming</t>
        </is>
      </c>
      <c r="D816" s="392" t="inlineStr">
        <is>
          <t>Rental</t>
        </is>
      </c>
      <c r="E816" s="392" t="inlineStr">
        <is>
          <t>Interest</t>
        </is>
      </c>
      <c r="F816" s="392" t="inlineStr">
        <is>
          <t>Commission</t>
        </is>
      </c>
      <c r="G816" s="392" t="inlineStr">
        <is>
          <t>Other</t>
        </is>
      </c>
      <c r="J816" s="538" t="n"/>
    </row>
    <row r="817">
      <c r="A817" s="361" t="n"/>
      <c r="J817" s="538" t="n"/>
    </row>
    <row r="818">
      <c r="A818" s="393" t="n"/>
      <c r="B818" s="514" t="n"/>
      <c r="C818" s="514" t="n"/>
      <c r="D818" s="514" t="n"/>
      <c r="E818" s="514" t="n"/>
      <c r="F818" s="514" t="n"/>
      <c r="G818" s="514" t="n"/>
      <c r="H818" s="514" t="n"/>
      <c r="I818" s="514" t="n"/>
      <c r="J818" s="515" t="n"/>
    </row>
    <row r="821" ht="16" customHeight="1" s="486" thickBot="1"/>
    <row r="822">
      <c r="A822" s="363" t="inlineStr">
        <is>
          <t xml:space="preserve">FOR Section E1 Part 1 </t>
        </is>
      </c>
      <c r="B822" s="364" t="n"/>
      <c r="C822" s="364" t="n"/>
      <c r="D822" s="364" t="n"/>
      <c r="E822" s="364" t="n"/>
      <c r="F822" s="364" t="n"/>
      <c r="G822" s="364" t="n"/>
      <c r="H822" s="365" t="n"/>
    </row>
    <row r="823">
      <c r="A823" s="366" t="inlineStr">
        <is>
          <t>Criteria</t>
        </is>
      </c>
      <c r="B823" t="inlineStr">
        <is>
          <t>EndRow</t>
        </is>
      </c>
      <c r="C823" t="inlineStr">
        <is>
          <t>criteriaRange</t>
        </is>
      </c>
      <c r="D823" t="inlineStr">
        <is>
          <t>HightLight Cell Column</t>
        </is>
      </c>
      <c r="H823" s="367" t="n"/>
    </row>
    <row r="824">
      <c r="A824" s="366" t="inlineStr">
        <is>
          <t>crit1</t>
        </is>
      </c>
      <c r="B824" t="n">
        <v>841</v>
      </c>
      <c r="C824" t="inlineStr">
        <is>
          <t>A1:A2</t>
        </is>
      </c>
      <c r="D824" t="inlineStr">
        <is>
          <t>A</t>
        </is>
      </c>
      <c r="H824" s="367" t="n"/>
    </row>
    <row r="825">
      <c r="A825" s="366" t="inlineStr">
        <is>
          <t>crit2</t>
        </is>
      </c>
      <c r="B825" t="n">
        <v>845</v>
      </c>
      <c r="C825" t="inlineStr">
        <is>
          <t>A5:A6</t>
        </is>
      </c>
      <c r="D825" t="inlineStr">
        <is>
          <t>C</t>
        </is>
      </c>
      <c r="H825" s="367" t="n"/>
    </row>
    <row r="826">
      <c r="A826" s="366" t="inlineStr">
        <is>
          <t>crit3</t>
        </is>
      </c>
      <c r="B826" t="n">
        <v>849</v>
      </c>
      <c r="C826" t="inlineStr">
        <is>
          <t>A9:A10</t>
        </is>
      </c>
      <c r="D826" t="inlineStr">
        <is>
          <t>D</t>
        </is>
      </c>
      <c r="H826" s="367" t="n"/>
    </row>
    <row r="827">
      <c r="A827" s="366" t="inlineStr">
        <is>
          <t>crit4</t>
        </is>
      </c>
      <c r="B827" t="n">
        <v>853</v>
      </c>
      <c r="C827" t="inlineStr">
        <is>
          <t>A13:B14</t>
        </is>
      </c>
      <c r="D827" t="inlineStr">
        <is>
          <t>E</t>
        </is>
      </c>
      <c r="H827" s="367" t="n"/>
    </row>
    <row r="828">
      <c r="A828" s="366" t="inlineStr">
        <is>
          <t>crit5</t>
        </is>
      </c>
      <c r="B828" t="n">
        <v>857</v>
      </c>
      <c r="C828" t="inlineStr">
        <is>
          <t>A17:A18</t>
        </is>
      </c>
      <c r="D828" t="inlineStr">
        <is>
          <t>F</t>
        </is>
      </c>
      <c r="H828" s="367" t="n"/>
    </row>
    <row r="829">
      <c r="A829" s="366" t="inlineStr">
        <is>
          <t>crit6</t>
        </is>
      </c>
      <c r="B829" t="n">
        <v>861</v>
      </c>
      <c r="C829" t="inlineStr">
        <is>
          <t>A21:D22</t>
        </is>
      </c>
      <c r="D829" t="inlineStr">
        <is>
          <t>G</t>
        </is>
      </c>
      <c r="H829" s="367" t="n"/>
    </row>
    <row r="830">
      <c r="A830" s="366" t="inlineStr">
        <is>
          <t>crit7</t>
        </is>
      </c>
      <c r="B830" t="n">
        <v>865</v>
      </c>
      <c r="C830" t="inlineStr">
        <is>
          <t>A25:A26</t>
        </is>
      </c>
      <c r="D830" t="inlineStr">
        <is>
          <t>H</t>
        </is>
      </c>
      <c r="H830" s="367" t="n"/>
    </row>
    <row r="831">
      <c r="A831" s="366" t="inlineStr">
        <is>
          <t>crit8</t>
        </is>
      </c>
      <c r="B831" t="n">
        <v>869</v>
      </c>
      <c r="C831" t="inlineStr">
        <is>
          <t>A29:A30</t>
        </is>
      </c>
      <c r="D831" t="inlineStr">
        <is>
          <t>I</t>
        </is>
      </c>
      <c r="H831" s="367" t="n"/>
    </row>
    <row r="832">
      <c r="A832" s="366" t="inlineStr">
        <is>
          <t>cri9</t>
        </is>
      </c>
      <c r="B832" t="n">
        <v>873</v>
      </c>
      <c r="C832" t="inlineStr">
        <is>
          <t>A33:B34</t>
        </is>
      </c>
      <c r="D832" t="inlineStr">
        <is>
          <t>A</t>
        </is>
      </c>
      <c r="H832" s="367" t="n"/>
    </row>
    <row r="833">
      <c r="A833" s="366" t="inlineStr">
        <is>
          <t>cri10</t>
        </is>
      </c>
      <c r="B833" t="n">
        <v>877</v>
      </c>
      <c r="C833" t="inlineStr">
        <is>
          <t>A37:D38</t>
        </is>
      </c>
      <c r="D833" t="inlineStr">
        <is>
          <t>C</t>
        </is>
      </c>
      <c r="H833" s="367" t="n"/>
    </row>
    <row r="834">
      <c r="A834" s="366" t="n"/>
      <c r="H834" s="367" t="n"/>
    </row>
    <row r="835">
      <c r="A835" s="366" t="n"/>
      <c r="H835" s="367" t="n"/>
    </row>
    <row r="836">
      <c r="A836" s="366" t="n"/>
      <c r="H836" s="367" t="n"/>
    </row>
    <row r="837">
      <c r="A837" s="366" t="n"/>
      <c r="H837" s="367" t="n"/>
    </row>
    <row r="838">
      <c r="A838" s="366" t="n"/>
      <c r="H838" s="367" t="n"/>
    </row>
    <row r="839">
      <c r="A839" s="366" t="n"/>
      <c r="H839" s="367" t="n"/>
    </row>
    <row r="840">
      <c r="A840" s="366" t="inlineStr">
        <is>
          <t>Item</t>
        </is>
      </c>
      <c r="H840" s="367" t="n"/>
    </row>
    <row r="841">
      <c r="A841" s="366" t="inlineStr">
        <is>
          <t>&lt;&gt;</t>
        </is>
      </c>
      <c r="H841" s="367" t="n"/>
    </row>
    <row r="842">
      <c r="A842" s="368" t="inlineStr">
        <is>
          <t>'Item should not contain any value in following row(s):</t>
        </is>
      </c>
      <c r="H842" s="367" t="n"/>
    </row>
    <row r="843">
      <c r="A843" s="366" t="n"/>
      <c r="H843" s="367" t="n"/>
    </row>
    <row r="844">
      <c r="A844" s="366" t="inlineStr">
        <is>
          <t>ItemDesc</t>
        </is>
      </c>
      <c r="H844" s="367" t="n"/>
    </row>
    <row r="845">
      <c r="A845" s="366" t="inlineStr">
        <is>
          <t>&lt;&gt;</t>
        </is>
      </c>
      <c r="H845" s="367" t="n"/>
    </row>
    <row r="846">
      <c r="A846" s="368" t="inlineStr">
        <is>
          <t>'Item Description should not contain any value in following row(s) :</t>
        </is>
      </c>
      <c r="H846" s="367" t="n"/>
    </row>
    <row r="847">
      <c r="A847" s="366" t="n"/>
      <c r="H847" s="367" t="n"/>
    </row>
    <row r="848">
      <c r="A848" s="366" t="inlineStr">
        <is>
          <t>Model</t>
        </is>
      </c>
      <c r="H848" s="367" t="n"/>
    </row>
    <row r="849">
      <c r="A849" s="366">
        <f>"=???????????????????????????????????????????????????*"</f>
        <v/>
      </c>
      <c r="H849" s="367" t="n"/>
    </row>
    <row r="850">
      <c r="A850" s="368" t="inlineStr">
        <is>
          <t xml:space="preserve">'Model should be of length less than or equal to 50 characters in row(s): </t>
        </is>
      </c>
      <c r="H850" s="367" t="n"/>
    </row>
    <row r="851">
      <c r="A851" s="366" t="n"/>
      <c r="H851" s="367" t="n"/>
    </row>
    <row r="852">
      <c r="A852" s="366" t="inlineStr">
        <is>
          <t>SerialNumber</t>
        </is>
      </c>
      <c r="H852" s="367" t="n"/>
    </row>
    <row r="853">
      <c r="A853" s="366">
        <f>"=???????????????????????????????????????????????????*"</f>
        <v/>
      </c>
      <c r="H853" s="367" t="n"/>
    </row>
    <row r="854">
      <c r="A854" s="368" t="inlineStr">
        <is>
          <t xml:space="preserve">'Serial Number should be of length less than or equal to 50 characters in row(s): </t>
        </is>
      </c>
      <c r="H854" s="367" t="n"/>
    </row>
    <row r="855">
      <c r="A855" s="366" t="n"/>
      <c r="H855" s="367" t="n"/>
    </row>
    <row r="856">
      <c r="A856" s="366" t="inlineStr">
        <is>
          <t>Date</t>
        </is>
      </c>
      <c r="H856" s="367" t="n"/>
    </row>
    <row r="857">
      <c r="A857" s="368" t="inlineStr">
        <is>
          <t>=???????????*</t>
        </is>
      </c>
      <c r="H857" s="367" t="n"/>
    </row>
    <row r="858">
      <c r="A858" s="368" t="inlineStr">
        <is>
          <t>"Please enter date value in dd/mm/yyyy format.</t>
        </is>
      </c>
      <c r="H858" s="367" t="n"/>
    </row>
    <row r="859">
      <c r="A859" s="366" t="n"/>
      <c r="H859" s="367" t="n"/>
    </row>
    <row r="860">
      <c r="A860" s="366" t="inlineStr">
        <is>
          <t>Location</t>
        </is>
      </c>
      <c r="B860" t="inlineStr">
        <is>
          <t>Location</t>
        </is>
      </c>
      <c r="C860" t="inlineStr">
        <is>
          <t>Location</t>
        </is>
      </c>
      <c r="D860" t="inlineStr">
        <is>
          <t>Location</t>
        </is>
      </c>
      <c r="H860" s="367" t="n"/>
    </row>
    <row r="861">
      <c r="A861" s="366" t="inlineStr">
        <is>
          <t>&lt;&gt;Outside City of Nairobi, Municipalities of Mombasa and Kisumu with investment cost equals to or more than Kshs 200 million (150%)</t>
        </is>
      </c>
      <c r="B861" t="inlineStr">
        <is>
          <t>&lt;&gt;Outside City of Nairobi, Municipalities of Mombasa and Kisumu with investment cost Less than Kshs 200 million (100%)</t>
        </is>
      </c>
      <c r="C861" t="inlineStr">
        <is>
          <t>&lt;&gt;Outside the Municipalities of Nairobi and Mombasa (100%)</t>
        </is>
      </c>
      <c r="D861" t="inlineStr">
        <is>
          <t>&lt;&gt;Within Municipality of Nairobi or Mombasa (100%)</t>
        </is>
      </c>
      <c r="H861" s="367" t="n"/>
    </row>
    <row r="862">
      <c r="A862" s="368" t="inlineStr">
        <is>
          <t xml:space="preserve">'Location' contains invalid value in following row(s) : </t>
        </is>
      </c>
      <c r="H862" s="367" t="n"/>
    </row>
    <row r="863">
      <c r="A863" s="366" t="n"/>
      <c r="H863" s="367" t="n"/>
    </row>
    <row r="864">
      <c r="A864" s="366" t="inlineStr">
        <is>
          <t>Cost</t>
        </is>
      </c>
      <c r="H864" s="367" t="n"/>
    </row>
    <row r="865">
      <c r="A865" s="366" t="inlineStr">
        <is>
          <t>=</t>
        </is>
      </c>
      <c r="H865" s="367" t="n"/>
    </row>
    <row r="866">
      <c r="A866" s="368" t="inlineStr">
        <is>
          <t xml:space="preserve">Cost' should contain value in following row(s) : </t>
        </is>
      </c>
      <c r="H866" s="367" t="n"/>
    </row>
    <row r="867">
      <c r="A867" s="366" t="n"/>
      <c r="H867" s="367" t="n"/>
    </row>
    <row r="868">
      <c r="A868" s="366" t="inlineStr">
        <is>
          <t>Investment</t>
        </is>
      </c>
      <c r="H868" s="367" t="n"/>
    </row>
    <row r="869">
      <c r="A869" s="366" t="inlineStr">
        <is>
          <t>=</t>
        </is>
      </c>
      <c r="H869" s="367" t="n"/>
    </row>
    <row r="870">
      <c r="A870" s="368" t="inlineStr">
        <is>
          <t xml:space="preserve">Investment Deduction' should contain value in following row(s) : </t>
        </is>
      </c>
      <c r="H870" s="367" t="n"/>
    </row>
    <row r="871">
      <c r="A871" s="366" t="n"/>
      <c r="H871" s="367" t="n"/>
    </row>
    <row r="872">
      <c r="A872" s="366" t="inlineStr">
        <is>
          <t>ItemCat</t>
        </is>
      </c>
      <c r="B872" t="inlineStr">
        <is>
          <t>ItemCat</t>
        </is>
      </c>
      <c r="H872" s="367" t="n"/>
    </row>
    <row r="873">
      <c r="A873" s="366" t="inlineStr">
        <is>
          <t>&lt;&gt;Machinery</t>
        </is>
      </c>
      <c r="B873" t="inlineStr">
        <is>
          <t>&lt;&gt;Indefeasible Right</t>
        </is>
      </c>
      <c r="H873" s="367" t="n"/>
    </row>
    <row r="874">
      <c r="A874" s="368" t="inlineStr">
        <is>
          <t xml:space="preserve">'Item Category' should contain value 'Machinery' or 'Indefeasible Right' in following row(s) : </t>
        </is>
      </c>
      <c r="H874" s="367" t="n"/>
    </row>
    <row r="875">
      <c r="A875" s="368" t="n"/>
      <c r="H875" s="367" t="n"/>
    </row>
    <row r="876">
      <c r="A876" s="368" t="inlineStr">
        <is>
          <t>ItemDescCat</t>
        </is>
      </c>
      <c r="B876" t="inlineStr">
        <is>
          <t>ItemDescCat</t>
        </is>
      </c>
      <c r="C876" t="inlineStr">
        <is>
          <t>ItemDescCat</t>
        </is>
      </c>
      <c r="D876" t="inlineStr">
        <is>
          <t>ItemDescCat</t>
        </is>
      </c>
      <c r="H876" s="367" t="n"/>
    </row>
    <row r="877">
      <c r="A877" s="368" t="inlineStr">
        <is>
          <t>&lt;&gt;Machinery used for Manufacture</t>
        </is>
      </c>
      <c r="B877" t="inlineStr">
        <is>
          <t>&lt;&gt;Hospital Equipment</t>
        </is>
      </c>
      <c r="C877" t="inlineStr">
        <is>
          <t>&lt;&gt;Ships or Aircraft</t>
        </is>
      </c>
      <c r="D877" t="inlineStr">
        <is>
          <t>&lt;&gt;Fibre Optic Cable by Telecommunication Operator</t>
        </is>
      </c>
      <c r="H877" s="367" t="n"/>
    </row>
    <row r="878">
      <c r="A878" s="368" t="inlineStr">
        <is>
          <t>'Item Description should contain following values</t>
        </is>
      </c>
      <c r="H878" s="367" t="n"/>
    </row>
    <row r="879">
      <c r="A879" s="368" t="n"/>
      <c r="H879" s="367" t="n"/>
    </row>
    <row r="880">
      <c r="A880" s="368" t="n"/>
      <c r="H880" s="367" t="n"/>
    </row>
    <row r="881">
      <c r="A881" s="366" t="n"/>
      <c r="H881" s="367" t="n"/>
    </row>
    <row r="882">
      <c r="A882" s="372" t="inlineStr">
        <is>
          <t>ItemCat</t>
        </is>
      </c>
      <c r="B882" s="372" t="inlineStr">
        <is>
          <t>ItemDesc</t>
        </is>
      </c>
      <c r="C882" s="372" t="inlineStr">
        <is>
          <t>ItemDescCat</t>
        </is>
      </c>
      <c r="D882" s="372" t="inlineStr">
        <is>
          <t>Model</t>
        </is>
      </c>
      <c r="E882" s="372" t="inlineStr">
        <is>
          <t>Serial Number</t>
        </is>
      </c>
      <c r="F882" s="372" t="inlineStr">
        <is>
          <t>Date</t>
        </is>
      </c>
      <c r="G882" s="372" t="inlineStr">
        <is>
          <t>Location</t>
        </is>
      </c>
      <c r="H882" s="374" t="inlineStr">
        <is>
          <t>Cost</t>
        </is>
      </c>
      <c r="I882" s="372" t="inlineStr">
        <is>
          <t>Investment</t>
        </is>
      </c>
      <c r="J882" s="374" t="n"/>
    </row>
    <row r="885" ht="16" customHeight="1" s="486" thickBot="1"/>
    <row r="886">
      <c r="A886" s="363" t="inlineStr">
        <is>
          <t>FOR Section E1 Part 2</t>
        </is>
      </c>
      <c r="B886" s="364" t="n"/>
      <c r="C886" s="364" t="n"/>
      <c r="D886" s="364" t="n"/>
      <c r="E886" s="364" t="n"/>
      <c r="F886" s="364" t="n"/>
      <c r="G886" s="364" t="n"/>
      <c r="H886" s="364" t="n"/>
      <c r="I886" s="365" t="n"/>
    </row>
    <row r="887">
      <c r="A887" s="366" t="inlineStr">
        <is>
          <t>Criteria</t>
        </is>
      </c>
      <c r="B887" t="inlineStr">
        <is>
          <t>EndRow</t>
        </is>
      </c>
      <c r="C887" t="inlineStr">
        <is>
          <t>criteriaRange</t>
        </is>
      </c>
      <c r="D887" t="inlineStr">
        <is>
          <t>HightLight Cell Column</t>
        </is>
      </c>
      <c r="I887" s="367" t="n"/>
    </row>
    <row r="888">
      <c r="A888" s="366" t="inlineStr">
        <is>
          <t>crit1</t>
        </is>
      </c>
      <c r="B888" t="n">
        <v>901</v>
      </c>
      <c r="C888" t="inlineStr">
        <is>
          <t>A1:A2</t>
        </is>
      </c>
      <c r="D888" t="inlineStr">
        <is>
          <t>A</t>
        </is>
      </c>
      <c r="I888" s="367" t="n"/>
    </row>
    <row r="889">
      <c r="A889" s="366" t="inlineStr">
        <is>
          <t>crit2</t>
        </is>
      </c>
      <c r="B889" t="n">
        <v>905</v>
      </c>
      <c r="C889" t="inlineStr">
        <is>
          <t>A5:A6</t>
        </is>
      </c>
      <c r="D889" t="inlineStr">
        <is>
          <t>A</t>
        </is>
      </c>
      <c r="I889" s="367" t="n"/>
    </row>
    <row r="890">
      <c r="A890" s="366" t="inlineStr">
        <is>
          <t>crit3</t>
        </is>
      </c>
      <c r="B890" t="n">
        <v>909</v>
      </c>
      <c r="C890" t="inlineStr">
        <is>
          <t>A9:A10</t>
        </is>
      </c>
      <c r="D890" t="inlineStr">
        <is>
          <t>C</t>
        </is>
      </c>
      <c r="I890" s="367" t="n"/>
    </row>
    <row r="891">
      <c r="A891" s="366" t="inlineStr">
        <is>
          <t>crit4</t>
        </is>
      </c>
      <c r="B891" t="n">
        <v>913</v>
      </c>
      <c r="C891" t="inlineStr">
        <is>
          <t>A13:A14</t>
        </is>
      </c>
      <c r="D891" t="inlineStr">
        <is>
          <t>E</t>
        </is>
      </c>
      <c r="I891" s="367" t="n"/>
    </row>
    <row r="892">
      <c r="A892" s="366" t="inlineStr">
        <is>
          <t>crit5</t>
        </is>
      </c>
      <c r="B892" t="n">
        <v>917</v>
      </c>
      <c r="C892" t="inlineStr">
        <is>
          <t>A17:A18</t>
        </is>
      </c>
      <c r="D892" t="inlineStr">
        <is>
          <t>F</t>
        </is>
      </c>
      <c r="I892" s="367" t="n"/>
    </row>
    <row r="893">
      <c r="A893" s="366" t="inlineStr">
        <is>
          <t>crit6</t>
        </is>
      </c>
      <c r="B893" t="n">
        <v>921</v>
      </c>
      <c r="C893" t="inlineStr">
        <is>
          <t>A21:A22</t>
        </is>
      </c>
      <c r="D893" t="inlineStr">
        <is>
          <t>H</t>
        </is>
      </c>
      <c r="I893" s="367" t="n"/>
    </row>
    <row r="894">
      <c r="A894" s="366" t="inlineStr">
        <is>
          <t>crit7</t>
        </is>
      </c>
      <c r="B894" t="n">
        <v>925</v>
      </c>
      <c r="C894" t="inlineStr">
        <is>
          <t>A25:A26</t>
        </is>
      </c>
      <c r="D894" t="inlineStr">
        <is>
          <t>I</t>
        </is>
      </c>
      <c r="I894" s="367" t="n"/>
    </row>
    <row r="895">
      <c r="A895" s="366" t="inlineStr">
        <is>
          <t>crit8</t>
        </is>
      </c>
      <c r="B895" t="n">
        <v>929</v>
      </c>
      <c r="C895" t="inlineStr">
        <is>
          <t>A29:A30</t>
        </is>
      </c>
      <c r="D895" t="inlineStr">
        <is>
          <t>D</t>
        </is>
      </c>
      <c r="I895" s="367" t="n"/>
    </row>
    <row r="896">
      <c r="A896" s="366" t="inlineStr">
        <is>
          <t>cri9</t>
        </is>
      </c>
      <c r="B896" t="n">
        <v>933</v>
      </c>
      <c r="C896" t="inlineStr">
        <is>
          <t>A33:A34</t>
        </is>
      </c>
      <c r="D896" t="inlineStr">
        <is>
          <t>G</t>
        </is>
      </c>
      <c r="I896" s="367" t="n"/>
    </row>
    <row r="897">
      <c r="A897" s="366" t="n"/>
      <c r="I897" s="367" t="n"/>
    </row>
    <row r="898">
      <c r="A898" s="366" t="n"/>
      <c r="I898" s="367" t="n"/>
    </row>
    <row r="899">
      <c r="A899" s="366" t="n"/>
      <c r="I899" s="367" t="n"/>
    </row>
    <row r="900">
      <c r="A900" s="366" t="inlineStr">
        <is>
          <t>Building</t>
        </is>
      </c>
      <c r="I900" s="367" t="n"/>
    </row>
    <row r="901">
      <c r="A901" s="366" t="inlineStr">
        <is>
          <t>&lt;&gt;</t>
        </is>
      </c>
      <c r="I901" s="367" t="n"/>
    </row>
    <row r="902">
      <c r="A902" s="368" t="inlineStr">
        <is>
          <t>Building should not contain any value in following row(s) :</t>
        </is>
      </c>
      <c r="I902" s="367" t="n"/>
    </row>
    <row r="903">
      <c r="A903" s="366" t="n"/>
      <c r="I903" s="367" t="n"/>
    </row>
    <row r="904">
      <c r="A904" s="366" t="inlineStr">
        <is>
          <t>BuildCat</t>
        </is>
      </c>
      <c r="B904" t="inlineStr">
        <is>
          <t>BuildCat</t>
        </is>
      </c>
      <c r="C904" t="inlineStr">
        <is>
          <t>BuildCat</t>
        </is>
      </c>
      <c r="D904" t="inlineStr">
        <is>
          <t>BuildCat</t>
        </is>
      </c>
      <c r="E904" t="inlineStr">
        <is>
          <t>BuildCat</t>
        </is>
      </c>
      <c r="F904" t="inlineStr">
        <is>
          <t>BuildCat</t>
        </is>
      </c>
      <c r="G904" t="inlineStr">
        <is>
          <t>BuildCat</t>
        </is>
      </c>
      <c r="I904" s="367" t="n"/>
    </row>
    <row r="905">
      <c r="A905" s="366" t="inlineStr">
        <is>
          <t>&lt;&gt;Hotel Building</t>
        </is>
      </c>
      <c r="B905" t="inlineStr">
        <is>
          <t>&lt;&gt;Building used for Manufacture</t>
        </is>
      </c>
      <c r="C905" t="inlineStr">
        <is>
          <t>&lt;&gt;Hospital Building</t>
        </is>
      </c>
      <c r="D905" t="inlineStr">
        <is>
          <t>&lt;&gt;Petroleum or Gas Storage Facilities</t>
        </is>
      </c>
      <c r="E905" t="inlineStr">
        <is>
          <t>&lt;&gt;Education Building including Student Hotels</t>
        </is>
      </c>
      <c r="F905" t="inlineStr">
        <is>
          <t>&lt;&gt;Commercial Building</t>
        </is>
      </c>
      <c r="G905" t="inlineStr">
        <is>
          <t>&lt;&gt;Construction of Bulk Storage and Handling Facilities(SGR)</t>
        </is>
      </c>
      <c r="I905" s="367" t="n"/>
    </row>
    <row r="906">
      <c r="A906" s="368" t="inlineStr">
        <is>
          <t xml:space="preserve">'Building Category should contain value 'Hotel Building' or 'Building used for Manufacture' or 'Hospital Building' or 'Petroleum or Gas Storage Facilities' or 'Education Building' or 'Commercial Building' or 'Construction of Bulk Storage and Handling Facilities(SGR)'  in following row(s) : </t>
        </is>
      </c>
      <c r="I906" s="367" t="n"/>
    </row>
    <row r="907">
      <c r="A907" s="366" t="n"/>
      <c r="I907" s="367" t="n"/>
    </row>
    <row r="908">
      <c r="A908" s="366" t="inlineStr">
        <is>
          <t>Date</t>
        </is>
      </c>
      <c r="I908" s="367" t="n"/>
    </row>
    <row r="909">
      <c r="A909" s="368" t="inlineStr">
        <is>
          <t>=???????????*</t>
        </is>
      </c>
      <c r="I909" s="367" t="n"/>
    </row>
    <row r="910">
      <c r="A910" s="368" t="inlineStr">
        <is>
          <t>"Please enter date value in dd/mm/yyyy format.</t>
        </is>
      </c>
      <c r="I910" s="367" t="n"/>
    </row>
    <row r="911">
      <c r="A911" s="366" t="n"/>
      <c r="I911" s="367" t="n"/>
    </row>
    <row r="912">
      <c r="A912" s="366" t="inlineStr">
        <is>
          <t>Cost</t>
        </is>
      </c>
      <c r="I912" s="367" t="n"/>
    </row>
    <row r="913">
      <c r="A913" s="366" t="inlineStr">
        <is>
          <t>=</t>
        </is>
      </c>
      <c r="I913" s="367" t="n"/>
    </row>
    <row r="914">
      <c r="A914" s="368" t="inlineStr">
        <is>
          <t xml:space="preserve">Cost' should contain value in following row(s) : </t>
        </is>
      </c>
      <c r="I914" s="367" t="n"/>
    </row>
    <row r="915">
      <c r="A915" s="366" t="n"/>
      <c r="I915" s="367" t="n"/>
    </row>
    <row r="916">
      <c r="A916" s="366" t="inlineStr">
        <is>
          <t>Investment</t>
        </is>
      </c>
      <c r="I916" s="367" t="n"/>
    </row>
    <row r="917">
      <c r="A917" s="366" t="inlineStr">
        <is>
          <t>=</t>
        </is>
      </c>
      <c r="I917" s="367" t="n"/>
    </row>
    <row r="918">
      <c r="A918" s="368" t="inlineStr">
        <is>
          <t xml:space="preserve">Investment Deduction' should contain value in following row(s) : </t>
        </is>
      </c>
      <c r="I918" s="367" t="n"/>
    </row>
    <row r="919">
      <c r="A919" s="366" t="n"/>
      <c r="I919" s="367" t="n"/>
    </row>
    <row r="920">
      <c r="A920" s="366" t="inlineStr">
        <is>
          <t>ResidualValue</t>
        </is>
      </c>
      <c r="I920" s="367" t="n"/>
    </row>
    <row r="921">
      <c r="A921" s="366" t="inlineStr">
        <is>
          <t>=</t>
        </is>
      </c>
      <c r="I921" s="367" t="n"/>
    </row>
    <row r="922">
      <c r="A922" s="368" t="inlineStr">
        <is>
          <t xml:space="preserve">Residual Value' should contain value in following row(s) : </t>
        </is>
      </c>
      <c r="I922" s="367" t="n"/>
    </row>
    <row r="923">
      <c r="A923" s="366" t="n"/>
      <c r="I923" s="367" t="n"/>
    </row>
    <row r="924">
      <c r="A924" s="366" t="inlineStr">
        <is>
          <t>CapAllowance</t>
        </is>
      </c>
      <c r="I924" s="367" t="n"/>
    </row>
    <row r="925">
      <c r="A925" s="366" t="inlineStr">
        <is>
          <t>=</t>
        </is>
      </c>
      <c r="I925" s="367" t="n"/>
    </row>
    <row r="926">
      <c r="A926" s="368" t="inlineStr">
        <is>
          <t xml:space="preserve">Capital Allowance' should contain value in following row(s) : </t>
        </is>
      </c>
      <c r="I926" s="367" t="n"/>
    </row>
    <row r="927">
      <c r="A927" s="366" t="n"/>
      <c r="I927" s="367" t="n"/>
    </row>
    <row r="928">
      <c r="A928" s="366" t="inlineStr">
        <is>
          <t>Days</t>
        </is>
      </c>
      <c r="I928" s="367" t="n"/>
    </row>
    <row r="929">
      <c r="A929" s="368" t="inlineStr">
        <is>
          <t>&lt;&gt;</t>
        </is>
      </c>
      <c r="I929" s="367" t="n"/>
    </row>
    <row r="930">
      <c r="A930" s="368" t="inlineStr">
        <is>
          <t xml:space="preserve">'Days in Use or Available for Use' should be blank in following row(s): </t>
        </is>
      </c>
      <c r="I930" s="367" t="n"/>
    </row>
    <row r="931">
      <c r="A931" s="368" t="n"/>
      <c r="I931" s="367" t="n"/>
    </row>
    <row r="932">
      <c r="A932" s="366" t="inlineStr">
        <is>
          <t>Qualifying</t>
        </is>
      </c>
      <c r="I932" s="367" t="n"/>
    </row>
    <row r="933">
      <c r="A933" s="366" t="inlineStr">
        <is>
          <t>&lt;&gt;</t>
        </is>
      </c>
      <c r="I933" s="367" t="n"/>
    </row>
    <row r="934">
      <c r="A934" s="368" t="inlineStr">
        <is>
          <t xml:space="preserve">'Qualifying Expenditure for IBD (Ksh)' should be blank in following row(s): </t>
        </is>
      </c>
      <c r="I934" s="367" t="n"/>
    </row>
    <row r="935">
      <c r="A935" s="366" t="n"/>
      <c r="I935" s="367" t="n"/>
    </row>
    <row r="936">
      <c r="A936" s="366" t="n"/>
      <c r="I936" s="367" t="n"/>
    </row>
    <row r="937">
      <c r="A937" s="368" t="n"/>
      <c r="I937" s="367" t="n"/>
    </row>
    <row r="938">
      <c r="A938" s="368" t="n"/>
      <c r="I938" s="367" t="n"/>
    </row>
    <row r="939">
      <c r="A939" s="368" t="n"/>
      <c r="I939" s="367" t="n"/>
    </row>
    <row r="940">
      <c r="A940" s="366" t="n"/>
      <c r="I940" s="367" t="n"/>
    </row>
    <row r="941" ht="16" customHeight="1" s="486">
      <c r="A941" s="369" t="inlineStr">
        <is>
          <t>BuildCat</t>
        </is>
      </c>
      <c r="B941" s="370" t="inlineStr">
        <is>
          <t>StorCap</t>
        </is>
      </c>
      <c r="C941" s="370" t="inlineStr">
        <is>
          <t>Date</t>
        </is>
      </c>
      <c r="D941" s="370" t="inlineStr">
        <is>
          <t>Days</t>
        </is>
      </c>
      <c r="E941" s="370" t="inlineStr">
        <is>
          <t>Cost</t>
        </is>
      </c>
      <c r="F941" s="370" t="inlineStr">
        <is>
          <t>Investment</t>
        </is>
      </c>
      <c r="G941" s="370" t="inlineStr">
        <is>
          <t>Qualifying</t>
        </is>
      </c>
      <c r="H941" s="370" t="inlineStr">
        <is>
          <t>ResidualValue</t>
        </is>
      </c>
      <c r="I941" s="371" t="inlineStr">
        <is>
          <t>CapAllowance</t>
        </is>
      </c>
      <c r="J941" s="370" t="n"/>
      <c r="K941" s="371" t="n"/>
    </row>
    <row r="944" ht="16" customHeight="1" s="486" thickBot="1"/>
    <row r="945">
      <c r="A945" s="363" t="inlineStr">
        <is>
          <t>FOR Section E1 Part 4</t>
        </is>
      </c>
      <c r="B945" s="364" t="n"/>
      <c r="C945" s="364" t="n"/>
      <c r="D945" s="364" t="n"/>
      <c r="E945" s="364" t="n"/>
      <c r="F945" s="364" t="n"/>
      <c r="G945" s="364" t="n"/>
      <c r="H945" s="364" t="n"/>
      <c r="I945" s="365" t="n"/>
    </row>
    <row r="946">
      <c r="A946" s="366" t="inlineStr">
        <is>
          <t>Criteria</t>
        </is>
      </c>
      <c r="B946" t="inlineStr">
        <is>
          <t>EndRow</t>
        </is>
      </c>
      <c r="C946" t="inlineStr">
        <is>
          <t>criteriaRange</t>
        </is>
      </c>
      <c r="D946" t="inlineStr">
        <is>
          <t>HightLight Cell Column</t>
        </is>
      </c>
      <c r="I946" s="367" t="n"/>
    </row>
    <row r="947">
      <c r="A947" s="366" t="inlineStr">
        <is>
          <t>crit1</t>
        </is>
      </c>
      <c r="B947" t="n">
        <v>436</v>
      </c>
      <c r="C947" t="inlineStr">
        <is>
          <t>A1:A2</t>
        </is>
      </c>
      <c r="D947" t="inlineStr">
        <is>
          <t>A</t>
        </is>
      </c>
      <c r="I947" s="367" t="n"/>
    </row>
    <row r="948">
      <c r="A948" s="366" t="inlineStr">
        <is>
          <t>crit2</t>
        </is>
      </c>
      <c r="B948" t="n">
        <v>440</v>
      </c>
      <c r="C948" t="inlineStr">
        <is>
          <t>A5:A6</t>
        </is>
      </c>
      <c r="D948" t="inlineStr">
        <is>
          <t>B</t>
        </is>
      </c>
      <c r="I948" s="367" t="n"/>
    </row>
    <row r="949">
      <c r="A949" s="366" t="inlineStr">
        <is>
          <t>crit3</t>
        </is>
      </c>
      <c r="B949" t="n">
        <v>444</v>
      </c>
      <c r="C949" t="inlineStr">
        <is>
          <t>A9:A10</t>
        </is>
      </c>
      <c r="D949" t="inlineStr">
        <is>
          <t>C</t>
        </is>
      </c>
      <c r="I949" s="367" t="n"/>
    </row>
    <row r="950">
      <c r="A950" s="366" t="inlineStr">
        <is>
          <t>crit4</t>
        </is>
      </c>
      <c r="B950" t="n">
        <v>448</v>
      </c>
      <c r="C950" t="inlineStr">
        <is>
          <t>A13:A14</t>
        </is>
      </c>
      <c r="D950" t="inlineStr">
        <is>
          <t>D</t>
        </is>
      </c>
      <c r="I950" s="367" t="n"/>
    </row>
    <row r="951">
      <c r="A951" s="366" t="inlineStr">
        <is>
          <t>crit5</t>
        </is>
      </c>
      <c r="B951" t="n">
        <v>452</v>
      </c>
      <c r="C951" t="inlineStr">
        <is>
          <t>A17:A18</t>
        </is>
      </c>
      <c r="D951" t="inlineStr">
        <is>
          <t>E</t>
        </is>
      </c>
      <c r="I951" s="367" t="n"/>
    </row>
    <row r="952">
      <c r="A952" s="366" t="inlineStr">
        <is>
          <t>crit6</t>
        </is>
      </c>
      <c r="B952" t="n">
        <v>456</v>
      </c>
      <c r="C952" t="inlineStr">
        <is>
          <t>A21:A22</t>
        </is>
      </c>
      <c r="D952" t="inlineStr">
        <is>
          <t>F</t>
        </is>
      </c>
      <c r="I952" s="367" t="n"/>
    </row>
    <row r="953">
      <c r="A953" s="366" t="inlineStr">
        <is>
          <t>crit7</t>
        </is>
      </c>
      <c r="B953" t="n">
        <v>460</v>
      </c>
      <c r="C953" t="inlineStr">
        <is>
          <t>A25:A26</t>
        </is>
      </c>
      <c r="D953" t="inlineStr">
        <is>
          <t>G</t>
        </is>
      </c>
      <c r="I953" s="367" t="n"/>
    </row>
    <row r="954">
      <c r="A954" s="366" t="inlineStr">
        <is>
          <t>crit8</t>
        </is>
      </c>
      <c r="B954" t="n">
        <v>464</v>
      </c>
      <c r="C954" t="inlineStr">
        <is>
          <t>A29:C30</t>
        </is>
      </c>
      <c r="D954" t="inlineStr">
        <is>
          <t>A</t>
        </is>
      </c>
      <c r="I954" s="367" t="n"/>
    </row>
    <row r="955">
      <c r="A955" s="366" t="n"/>
      <c r="I955" s="367" t="n"/>
    </row>
    <row r="956">
      <c r="A956" s="366" t="n"/>
      <c r="I956" s="367" t="n"/>
    </row>
    <row r="957">
      <c r="A957" s="366" t="n"/>
      <c r="I957" s="367" t="n"/>
    </row>
    <row r="958">
      <c r="A958" s="366" t="n"/>
      <c r="I958" s="367" t="n"/>
    </row>
    <row r="959">
      <c r="A959" s="366" t="n"/>
      <c r="I959" s="367" t="n"/>
    </row>
    <row r="960">
      <c r="A960" s="366" t="n"/>
      <c r="I960" s="367" t="n"/>
    </row>
    <row r="961">
      <c r="A961" s="366" t="inlineStr">
        <is>
          <t>Item</t>
        </is>
      </c>
      <c r="I961" s="367" t="n"/>
    </row>
    <row r="962">
      <c r="A962" s="366" t="inlineStr">
        <is>
          <t>&lt;&gt;</t>
        </is>
      </c>
      <c r="I962" s="367" t="n"/>
    </row>
    <row r="963">
      <c r="A963" s="368" t="inlineStr">
        <is>
          <t xml:space="preserve">'Item' shoul not contain any value in row(s): </t>
        </is>
      </c>
      <c r="I963" s="367" t="n"/>
    </row>
    <row r="964">
      <c r="A964" s="366" t="n"/>
      <c r="I964" s="367" t="n"/>
    </row>
    <row r="965">
      <c r="A965" s="366" t="inlineStr">
        <is>
          <t>Desc</t>
        </is>
      </c>
      <c r="I965" s="367" t="n"/>
    </row>
    <row r="966">
      <c r="A966" s="366" t="inlineStr">
        <is>
          <t>=</t>
        </is>
      </c>
      <c r="I966" s="367" t="n"/>
    </row>
    <row r="967">
      <c r="A967" s="368" t="inlineStr">
        <is>
          <t xml:space="preserve">'Item Description' should contain any value in row(s): </t>
        </is>
      </c>
      <c r="I967" s="367" t="n"/>
    </row>
    <row r="968">
      <c r="A968" s="366" t="n"/>
      <c r="I968" s="367" t="n"/>
    </row>
    <row r="969">
      <c r="A969" s="366" t="inlineStr">
        <is>
          <t>SrNo</t>
        </is>
      </c>
      <c r="I969" s="367" t="n"/>
    </row>
    <row r="970">
      <c r="A970" s="366">
        <f>"=???????????????????????????????????????????????????*"</f>
        <v/>
      </c>
      <c r="I970" s="367" t="n"/>
    </row>
    <row r="971">
      <c r="A971" s="368" t="inlineStr">
        <is>
          <t xml:space="preserve">'Serial Number' should be of length less than or equal to 50 characters in row(s): </t>
        </is>
      </c>
      <c r="I971" s="367" t="n"/>
    </row>
    <row r="972">
      <c r="A972" s="366" t="n"/>
      <c r="I972" s="367" t="n"/>
    </row>
    <row r="973">
      <c r="A973" s="366" t="inlineStr">
        <is>
          <t>Date</t>
        </is>
      </c>
      <c r="I973" s="367" t="n"/>
    </row>
    <row r="974">
      <c r="A974" s="368" t="inlineStr">
        <is>
          <t>=???????????*</t>
        </is>
      </c>
      <c r="I974" s="367" t="n"/>
    </row>
    <row r="975">
      <c r="A975" s="368" t="inlineStr">
        <is>
          <t>"Please enter date value in dd/mm/yyyy format.</t>
        </is>
      </c>
      <c r="I975" s="367" t="n"/>
    </row>
    <row r="976">
      <c r="A976" s="366" t="n"/>
      <c r="I976" s="367" t="n"/>
    </row>
    <row r="977">
      <c r="A977" s="366" t="inlineStr">
        <is>
          <t>Rate</t>
        </is>
      </c>
      <c r="I977" s="367" t="n"/>
    </row>
    <row r="978">
      <c r="A978" s="366" t="inlineStr">
        <is>
          <t>&lt;&gt;</t>
        </is>
      </c>
      <c r="I978" s="367" t="n"/>
    </row>
    <row r="979">
      <c r="A979" s="368" t="inlineStr">
        <is>
          <t xml:space="preserve">Rate' should not contain any value in following row(s) : </t>
        </is>
      </c>
      <c r="I979" s="367" t="n"/>
    </row>
    <row r="980">
      <c r="A980" s="366" t="n"/>
      <c r="I980" s="367" t="n"/>
    </row>
    <row r="981">
      <c r="A981" s="366" t="inlineStr">
        <is>
          <t>Cost</t>
        </is>
      </c>
      <c r="I981" s="367" t="n"/>
    </row>
    <row r="982">
      <c r="A982" s="366" t="inlineStr">
        <is>
          <t>=</t>
        </is>
      </c>
      <c r="I982" s="367" t="n"/>
    </row>
    <row r="983">
      <c r="A983" s="368" t="inlineStr">
        <is>
          <t xml:space="preserve">Actual Cost' should contain value in following row(s) : </t>
        </is>
      </c>
      <c r="I983" s="367" t="n"/>
    </row>
    <row r="984">
      <c r="A984" s="366" t="n"/>
      <c r="I984" s="367" t="n"/>
    </row>
    <row r="985">
      <c r="A985" s="366" t="inlineStr">
        <is>
          <t>Disposal</t>
        </is>
      </c>
      <c r="I985" s="367" t="n"/>
    </row>
    <row r="986">
      <c r="A986" s="366" t="inlineStr">
        <is>
          <t>=</t>
        </is>
      </c>
      <c r="I986" s="367" t="n"/>
    </row>
    <row r="987">
      <c r="A987" s="368" t="inlineStr">
        <is>
          <t xml:space="preserve">Disposal at Cost during the Year at cost' should contain value in following row(s) : </t>
        </is>
      </c>
      <c r="I987" s="367" t="n"/>
    </row>
    <row r="988">
      <c r="A988" s="366" t="n"/>
      <c r="I988" s="367" t="n"/>
    </row>
    <row r="989">
      <c r="A989" s="366" t="inlineStr">
        <is>
          <t>ItemCat</t>
        </is>
      </c>
      <c r="B989" t="inlineStr">
        <is>
          <t>ItemCat</t>
        </is>
      </c>
      <c r="C989" t="inlineStr">
        <is>
          <t>ItemCat</t>
        </is>
      </c>
      <c r="I989" s="367" t="n"/>
    </row>
    <row r="990">
      <c r="A990" s="366" t="inlineStr">
        <is>
          <t>&lt;&gt;Machinery used to undertake operations under a mining right</t>
        </is>
      </c>
      <c r="B990" t="inlineStr">
        <is>
          <t>&lt;&gt;Machinery used to undertake operations under a prospecting right</t>
        </is>
      </c>
      <c r="C990" t="inlineStr">
        <is>
          <t>&lt;&gt;Other Machinery</t>
        </is>
      </c>
      <c r="I990" s="367" t="n"/>
    </row>
    <row r="991">
      <c r="A991" s="368" t="inlineStr">
        <is>
          <t xml:space="preserve">'Item Category' contain value 'Machinery used to undertake operations under a mining right' or 'Machinery used to undertake operations under a prospecting right' or 'Other Machinery' in following row(s) : </t>
        </is>
      </c>
      <c r="I991" s="367" t="n"/>
    </row>
    <row r="992">
      <c r="A992" s="368" t="n"/>
      <c r="I992" s="367" t="n"/>
    </row>
    <row r="993">
      <c r="A993" s="368" t="n"/>
      <c r="I993" s="367" t="n"/>
    </row>
    <row r="994">
      <c r="A994" s="366" t="n"/>
      <c r="I994" s="367" t="n"/>
    </row>
    <row r="995">
      <c r="A995" s="366" t="n"/>
      <c r="I995" s="367" t="n"/>
    </row>
    <row r="996">
      <c r="A996" s="366" t="n"/>
      <c r="I996" s="367" t="n"/>
    </row>
    <row r="997">
      <c r="A997" s="368" t="n"/>
      <c r="I997" s="367" t="n"/>
    </row>
    <row r="998">
      <c r="A998" s="368" t="n"/>
      <c r="I998" s="367" t="n"/>
    </row>
    <row r="999">
      <c r="A999" s="368" t="n"/>
      <c r="I999" s="367" t="n"/>
    </row>
    <row r="1000">
      <c r="A1000" s="366" t="n"/>
      <c r="I1000" s="367" t="n"/>
    </row>
    <row r="1001" ht="16" customHeight="1" s="486">
      <c r="A1001" s="377" t="inlineStr">
        <is>
          <t>ItemCat</t>
        </is>
      </c>
      <c r="B1001" s="376" t="inlineStr">
        <is>
          <t>Desc</t>
        </is>
      </c>
      <c r="C1001" s="376" t="inlineStr">
        <is>
          <t>SrNo</t>
        </is>
      </c>
      <c r="D1001" s="376" t="inlineStr">
        <is>
          <t>Date</t>
        </is>
      </c>
      <c r="E1001" s="376" t="inlineStr">
        <is>
          <t>Rate</t>
        </is>
      </c>
      <c r="F1001" s="376" t="inlineStr">
        <is>
          <t>Cost</t>
        </is>
      </c>
      <c r="G1001" s="376" t="inlineStr">
        <is>
          <t>Disposal</t>
        </is>
      </c>
      <c r="H1001" s="380" t="n"/>
      <c r="I1001" s="381" t="n"/>
      <c r="J1001" s="381" t="n"/>
    </row>
  </sheetData>
  <sheetProtection selectLockedCells="0" selectUnlockedCells="0" algorithmName="SHA-512" sheet="1" objects="1" insertRows="1" insertHyperlinks="1" autoFilter="1" scenarios="1" formatColumns="1" deleteColumns="1" insertColumns="1" pivotTables="1" deleteRows="1" formatCells="1" saltValue="Np4kV95i0zx9O5T+iLJXhg==" formatRows="1" sort="1" spinCount="100000" hashValue="AVjXDRj3iw9KbvD9j8Z7FqmdUT9OyB8j8KeGrLGrxevpnEn3WQuOviwfuAVnFIXsI0bwkijplK4+irnFt3mk5g=="/>
  <mergeCells count="9">
    <mergeCell ref="A568:I568"/>
    <mergeCell ref="A241:J241"/>
    <mergeCell ref="A476:J476"/>
    <mergeCell ref="A399:G399"/>
    <mergeCell ref="A149:J149"/>
    <mergeCell ref="A716:F716"/>
    <mergeCell ref="A639:E639"/>
    <mergeCell ref="A320:J320"/>
    <mergeCell ref="A60:G60"/>
  </mergeCells>
  <pageMargins left="0.7" right="0.7" top="0.75" bottom="0.75" header="0.3" footer="0.3"/>
  <pageSetup orientation="portrait"/>
</worksheet>
</file>

<file path=xl/worksheets/sheet8.xml><?xml version="1.0" encoding="utf-8"?>
<worksheet xmlns:r="http://schemas.openxmlformats.org/officeDocument/2006/relationships" xmlns="http://schemas.openxmlformats.org/spreadsheetml/2006/main">
  <sheetPr codeName="Sheet14">
    <outlinePr summaryBelow="1" summaryRight="1"/>
    <pageSetUpPr/>
  </sheetPr>
  <dimension ref="A1:IS80"/>
  <sheetViews>
    <sheetView zoomScaleNormal="100" workbookViewId="0">
      <selection activeCell="B6" sqref="B6"/>
    </sheetView>
  </sheetViews>
  <sheetFormatPr baseColWidth="10" defaultColWidth="0" defaultRowHeight="15" zeroHeight="1"/>
  <cols>
    <col width="44.33203125" customWidth="1" style="486" min="1" max="1"/>
    <col width="27.6640625" customWidth="1" style="486" min="2" max="3"/>
    <col width="27.6640625" customWidth="1" style="429" min="4" max="11"/>
    <col width="27.6640625" customWidth="1" style="486" min="12" max="16"/>
    <col width="33.1640625" customWidth="1" style="486" min="17" max="21"/>
    <col hidden="1" width="33.1640625" customWidth="1" style="486" min="22" max="22"/>
    <col hidden="1" width="33.1640625" customWidth="1" style="486" min="23" max="16384"/>
  </cols>
  <sheetData>
    <row r="1" ht="48" customFormat="1" customHeight="1" s="212">
      <c r="A1" s="208" t="n"/>
      <c r="B1" s="503" t="inlineStr">
        <is>
          <t>Resident Individual Income Tax Return</t>
        </is>
      </c>
      <c r="C1" s="481" t="n"/>
      <c r="D1" s="402" t="n"/>
      <c r="E1" s="310" t="n"/>
      <c r="F1" s="310" t="n"/>
      <c r="G1" s="310" t="n"/>
      <c r="H1" s="310" t="n"/>
      <c r="I1" s="310">
        <f>RIGHT(C2,LEN(C2)-8)</f>
        <v/>
      </c>
      <c r="J1" s="310">
        <f>obligationId</f>
        <v/>
      </c>
      <c r="K1" s="40" t="n"/>
      <c r="L1" s="40" t="n"/>
      <c r="M1" s="40" t="n"/>
      <c r="N1" s="40" t="n"/>
      <c r="O1" s="40" t="n"/>
      <c r="P1" s="40" t="n"/>
      <c r="Q1" s="40" t="n"/>
      <c r="R1" s="40" t="n"/>
      <c r="S1" s="40" t="n"/>
      <c r="T1" s="40" t="n"/>
      <c r="U1" s="40" t="n"/>
    </row>
    <row r="2" ht="21" customFormat="1" customHeight="1" s="212">
      <c r="A2" s="506" t="inlineStr">
        <is>
          <t>Section A Part 1 : Return Information</t>
        </is>
      </c>
      <c r="B2" s="481" t="n"/>
      <c r="C2" s="213" t="inlineStr">
        <is>
          <t>Version 18.0.9</t>
        </is>
      </c>
      <c r="D2" s="440" t="n"/>
      <c r="E2" s="310" t="n"/>
      <c r="F2" s="310" t="n"/>
      <c r="G2" s="310" t="n"/>
      <c r="H2" s="310" t="n"/>
      <c r="I2" s="310">
        <f>templateType</f>
        <v/>
      </c>
      <c r="J2" s="310">
        <f>officeVersion</f>
        <v/>
      </c>
      <c r="K2" s="40" t="n"/>
      <c r="L2" s="40" t="n"/>
      <c r="M2" s="40" t="n"/>
      <c r="N2" s="40" t="n"/>
      <c r="O2" s="40" t="n"/>
      <c r="P2" s="40" t="n"/>
      <c r="Q2" s="40" t="n"/>
      <c r="R2" s="40" t="n"/>
      <c r="S2" s="40" t="n"/>
      <c r="T2" s="40" t="n"/>
      <c r="U2" s="40" t="n"/>
    </row>
    <row r="3" ht="17" customFormat="1" customHeight="1" s="212">
      <c r="A3" s="209" t="inlineStr">
        <is>
          <t>Personal Identification Number *</t>
        </is>
      </c>
      <c r="B3" s="210" t="inlineStr">
        <is>
          <t>A011341303Q</t>
        </is>
      </c>
      <c r="C3" s="310" t="n"/>
      <c r="D3" s="310">
        <f>IF(D5&lt;&gt;"",CONCATENATE(D5-1),"")</f>
        <v/>
      </c>
      <c r="E3" s="310">
        <f>IF(D5&lt;&gt;"",CONCATENATE(D5-2),"")</f>
        <v/>
      </c>
      <c r="F3" s="310">
        <f>IF(D5&lt;&gt;"",CONCATENATE(D5-3),"")</f>
        <v/>
      </c>
      <c r="G3" s="310">
        <f>IF(D5&lt;&gt;"",CONCATENATE(D5-4),"")</f>
        <v/>
      </c>
      <c r="H3" s="310">
        <f>IF(D5&lt;&gt;"",IF(D5&gt;=2015,CONCATENATE(D5-5),""),"")</f>
        <v/>
      </c>
      <c r="I3" s="310">
        <f>moduleId</f>
        <v/>
      </c>
      <c r="J3" s="310">
        <f>formId</f>
        <v/>
      </c>
      <c r="K3" s="310" t="n"/>
      <c r="L3" s="310" t="n"/>
      <c r="M3" s="310" t="n"/>
      <c r="N3" s="310" t="n"/>
      <c r="O3" s="310" t="n"/>
      <c r="P3" s="310" t="n"/>
      <c r="Q3" s="310" t="n"/>
      <c r="R3" s="40" t="n"/>
      <c r="S3" s="40" t="n"/>
      <c r="T3" s="40" t="n"/>
      <c r="U3" s="40" t="n"/>
    </row>
    <row r="4" ht="17" customHeight="1" s="486">
      <c r="A4" s="211" t="inlineStr">
        <is>
          <t>Type of Return *</t>
        </is>
      </c>
      <c r="B4" s="41" t="inlineStr">
        <is>
          <t>Original</t>
        </is>
      </c>
      <c r="C4" s="310" t="n"/>
      <c r="D4" s="419" t="inlineStr">
        <is>
          <t>01/01/2022</t>
        </is>
      </c>
      <c r="E4" s="310">
        <f>IF(D5&lt;&gt;"",IF(D5&gt;=2015,CONCATENATE(D5-6),""),"")</f>
        <v/>
      </c>
      <c r="F4" s="310">
        <f>IF(D5&lt;&gt;"",IF(D5&gt;=2015,CONCATENATE(D5-7),""),"")</f>
        <v/>
      </c>
      <c r="G4" s="310">
        <f>IF(D5&lt;&gt;"",IF(D5&gt;=2015,CONCATENATE(D5-8),""),"")</f>
        <v/>
      </c>
      <c r="H4" s="310">
        <f>IF(D5&lt;&gt;"",IF(D5&gt;=2015,CONCATENATE(D5-9),""),"")</f>
        <v/>
      </c>
      <c r="I4" s="310" t="n"/>
      <c r="J4" s="310" t="n"/>
      <c r="K4" s="310" t="n"/>
      <c r="L4" s="310" t="n"/>
      <c r="M4" s="310" t="n"/>
      <c r="N4" s="310" t="n"/>
      <c r="O4" s="310" t="n"/>
      <c r="P4" s="310" t="n"/>
      <c r="Q4" s="310" t="n"/>
      <c r="R4" s="40" t="n"/>
      <c r="S4" s="40" t="n"/>
      <c r="T4" s="40" t="n"/>
      <c r="U4" s="40" t="n"/>
    </row>
    <row r="5" ht="17" customHeight="1" s="486">
      <c r="A5" s="211" t="inlineStr">
        <is>
          <t>Return Period From *</t>
        </is>
      </c>
      <c r="B5" s="299" t="inlineStr">
        <is>
          <t>01/01/2023</t>
        </is>
      </c>
      <c r="C5" s="419" t="inlineStr">
        <is>
          <t>01/01/2023</t>
        </is>
      </c>
      <c r="D5" s="310" t="n">
        <v>2023</v>
      </c>
      <c r="E5" s="310" t="n"/>
      <c r="F5" s="310" t="n"/>
      <c r="G5" s="310" t="n"/>
      <c r="H5" s="310" t="n"/>
      <c r="I5" s="310" t="n"/>
      <c r="J5" s="310" t="n"/>
      <c r="K5" s="310" t="n"/>
      <c r="L5" s="310" t="n"/>
      <c r="M5" s="310" t="n"/>
      <c r="N5" s="310" t="n"/>
      <c r="O5" s="310" t="n"/>
      <c r="P5" s="310" t="n"/>
      <c r="Q5" s="310" t="n"/>
      <c r="R5" s="40" t="n"/>
      <c r="S5" s="40" t="n"/>
      <c r="T5" s="40" t="n"/>
      <c r="U5" s="40" t="n"/>
    </row>
    <row r="6" ht="17" customHeight="1" s="486">
      <c r="A6" s="211" t="inlineStr">
        <is>
          <t>Return Period To *</t>
        </is>
      </c>
      <c r="B6" s="299" t="inlineStr">
        <is>
          <t>31/12/2023</t>
        </is>
      </c>
      <c r="C6" s="310" t="inlineStr">
        <is>
          <t>31/12/2023</t>
        </is>
      </c>
      <c r="D6" s="402" t="n"/>
      <c r="E6" s="310" t="n"/>
      <c r="F6" s="310" t="n"/>
      <c r="G6" s="310" t="n"/>
      <c r="H6" s="310" t="n"/>
      <c r="I6" s="310" t="n"/>
      <c r="J6" s="310" t="n"/>
      <c r="K6" s="310" t="n"/>
      <c r="L6" s="310" t="n"/>
      <c r="M6" s="310" t="n"/>
      <c r="N6" s="310" t="n"/>
      <c r="O6" s="310" t="n"/>
      <c r="P6" s="310" t="n"/>
      <c r="Q6" s="310" t="n"/>
      <c r="R6" s="40" t="n"/>
      <c r="S6" s="40" t="n"/>
      <c r="T6" s="40" t="n"/>
      <c r="U6" s="40" t="n"/>
    </row>
    <row r="7" ht="34" customHeight="1" s="486">
      <c r="A7" s="238" t="inlineStr">
        <is>
          <t>Do you have any income other than employment income? *</t>
        </is>
      </c>
      <c r="B7" s="41" t="inlineStr">
        <is>
          <t>No</t>
        </is>
      </c>
      <c r="C7" s="310">
        <f>IF(ISERROR(LOOKUP(B7,SortedDeclareIncomeYN,DeclareIncomeYNCode)),"",LOOKUP(B7,SortedDeclareIncomeYN,DeclareIncomeYNCode))</f>
        <v/>
      </c>
      <c r="D7" s="402" t="n"/>
      <c r="E7" s="310" t="n"/>
      <c r="F7" s="310" t="n"/>
      <c r="G7" s="310" t="n"/>
      <c r="H7" s="310" t="n"/>
      <c r="I7" s="310" t="n"/>
      <c r="J7" s="310" t="n"/>
      <c r="K7" s="310" t="n"/>
      <c r="L7" s="310" t="n"/>
      <c r="M7" s="310" t="n"/>
      <c r="N7" s="310" t="n"/>
      <c r="O7" s="310" t="n"/>
      <c r="P7" s="310" t="n"/>
      <c r="Q7" s="310" t="n"/>
      <c r="R7" s="40" t="n"/>
      <c r="S7" s="40" t="n"/>
      <c r="T7" s="40" t="n"/>
      <c r="U7" s="40" t="n"/>
    </row>
    <row r="8" ht="17" customHeight="1" s="486">
      <c r="A8" s="238" t="inlineStr">
        <is>
          <t>Do you have partnership income? *</t>
        </is>
      </c>
      <c r="B8" s="41" t="inlineStr">
        <is>
          <t>No</t>
        </is>
      </c>
      <c r="C8" s="310" t="n"/>
      <c r="D8" s="402" t="n"/>
      <c r="E8" s="310" t="n"/>
      <c r="F8" s="310" t="n"/>
      <c r="G8" s="310" t="n"/>
      <c r="H8" s="310" t="n"/>
      <c r="I8" s="310" t="n"/>
      <c r="J8" s="310" t="n"/>
      <c r="K8" s="310" t="n"/>
      <c r="L8" s="310" t="n"/>
      <c r="M8" s="310" t="n"/>
      <c r="N8" s="310" t="n"/>
      <c r="O8" s="310" t="n"/>
      <c r="P8" s="310" t="n"/>
      <c r="Q8" s="310" t="n"/>
      <c r="R8" s="40" t="n"/>
      <c r="S8" s="40" t="n"/>
      <c r="T8" s="40" t="n"/>
      <c r="U8" s="40" t="n"/>
    </row>
    <row r="9" ht="17" customHeight="1" s="486">
      <c r="A9" s="238" t="inlineStr">
        <is>
          <t>Do you have estate trust income? *</t>
        </is>
      </c>
      <c r="B9" s="41" t="inlineStr">
        <is>
          <t>No</t>
        </is>
      </c>
      <c r="C9" s="310" t="n"/>
      <c r="D9" s="402" t="n"/>
      <c r="E9" s="310" t="n"/>
      <c r="F9" s="310" t="n"/>
      <c r="G9" s="310" t="n"/>
      <c r="H9" s="310" t="n"/>
      <c r="I9" s="310" t="n"/>
      <c r="J9" s="310" t="n"/>
      <c r="K9" s="310" t="n"/>
      <c r="L9" s="310" t="n"/>
      <c r="M9" s="310" t="n"/>
      <c r="N9" s="310" t="n"/>
      <c r="O9" s="310" t="n"/>
      <c r="P9" s="310" t="n"/>
      <c r="Q9" s="310" t="n"/>
      <c r="R9" s="40" t="n"/>
      <c r="S9" s="40" t="n"/>
      <c r="T9" s="40" t="n"/>
      <c r="U9" s="40" t="n"/>
    </row>
    <row r="10" ht="17" customHeight="1" s="486">
      <c r="A10" s="238" t="inlineStr">
        <is>
          <t>Has your employer provided you with a car? *</t>
        </is>
      </c>
      <c r="B10" s="41" t="inlineStr">
        <is>
          <t>No</t>
        </is>
      </c>
      <c r="C10" s="310" t="n"/>
      <c r="D10" s="402" t="n"/>
      <c r="E10" s="310" t="n"/>
      <c r="F10" s="310" t="n"/>
      <c r="G10" s="310" t="n"/>
      <c r="H10" s="310" t="n"/>
      <c r="I10" s="310" t="n"/>
      <c r="J10" s="310" t="n"/>
      <c r="K10" s="310" t="n"/>
      <c r="L10" s="310" t="n"/>
      <c r="M10" s="310" t="n"/>
      <c r="N10" s="310" t="n"/>
      <c r="O10" s="310" t="n"/>
      <c r="P10" s="310" t="n"/>
      <c r="Q10" s="310" t="n"/>
      <c r="R10" s="40" t="n"/>
      <c r="S10" s="40" t="n"/>
      <c r="T10" s="40" t="n"/>
      <c r="U10" s="40" t="n"/>
    </row>
    <row r="11" ht="17" customHeight="1" s="486">
      <c r="A11" s="238" t="inlineStr">
        <is>
          <t>Do you have a mortgage? *</t>
        </is>
      </c>
      <c r="B11" s="41" t="inlineStr">
        <is>
          <t>No</t>
        </is>
      </c>
      <c r="C11" s="310" t="n"/>
      <c r="D11" s="402" t="n"/>
      <c r="E11" s="310" t="n"/>
      <c r="F11" s="310" t="n"/>
      <c r="G11" s="310" t="n"/>
      <c r="H11" s="310" t="n"/>
      <c r="I11" s="310" t="n"/>
      <c r="J11" s="310" t="n"/>
      <c r="K11" s="310" t="n"/>
      <c r="L11" s="310" t="n"/>
      <c r="M11" s="310" t="n"/>
      <c r="N11" s="310" t="n"/>
      <c r="O11" s="310" t="n"/>
      <c r="P11" s="310" t="n"/>
      <c r="Q11" s="310" t="n"/>
      <c r="R11" s="40" t="n"/>
      <c r="S11" s="40" t="n"/>
      <c r="T11" s="40" t="n"/>
      <c r="U11" s="40" t="n"/>
    </row>
    <row r="12" ht="34" customHeight="1" s="486">
      <c r="A12" s="238" t="inlineStr">
        <is>
          <t>Do you have a Home Ownership Savings Plan? *</t>
        </is>
      </c>
      <c r="B12" s="41" t="inlineStr">
        <is>
          <t>No</t>
        </is>
      </c>
      <c r="C12" s="310" t="n"/>
      <c r="D12" s="310" t="n"/>
      <c r="E12" s="310" t="n"/>
      <c r="F12" s="310" t="n"/>
      <c r="G12" s="310" t="n"/>
      <c r="H12" s="310" t="n"/>
      <c r="I12" s="310" t="n"/>
      <c r="J12" s="310" t="n"/>
      <c r="K12" s="310" t="n"/>
      <c r="L12" s="310" t="n"/>
      <c r="M12" s="310" t="n"/>
      <c r="N12" s="310" t="n"/>
      <c r="O12" s="310" t="n"/>
      <c r="P12" s="310" t="n"/>
      <c r="Q12" s="310" t="n"/>
      <c r="R12" s="40" t="n"/>
      <c r="S12" s="40" t="n"/>
      <c r="T12" s="40" t="n"/>
      <c r="U12" s="40" t="n"/>
    </row>
    <row r="13" ht="17" customHeight="1" s="486">
      <c r="A13" s="238" t="inlineStr">
        <is>
          <t>Do you have an insurance policy? *</t>
        </is>
      </c>
      <c r="B13" s="41" t="inlineStr">
        <is>
          <t>Yes</t>
        </is>
      </c>
      <c r="C13" s="310" t="n"/>
      <c r="D13" s="310" t="n"/>
      <c r="E13" s="310" t="n"/>
      <c r="F13" s="310" t="n"/>
      <c r="G13" s="310" t="n"/>
      <c r="H13" s="310" t="n"/>
      <c r="I13" s="310" t="n"/>
      <c r="J13" s="310" t="n"/>
      <c r="K13" s="310" t="n"/>
      <c r="L13" s="310" t="n"/>
      <c r="M13" s="310" t="n"/>
      <c r="N13" s="310" t="n"/>
      <c r="O13" s="310" t="n"/>
      <c r="P13" s="310" t="n"/>
      <c r="Q13" s="310" t="n"/>
      <c r="R13" s="40" t="n"/>
      <c r="S13" s="40" t="n"/>
      <c r="T13" s="40" t="n"/>
      <c r="U13" s="40" t="n"/>
    </row>
    <row r="14" ht="17" customHeight="1" s="486">
      <c r="A14" s="238" t="inlineStr">
        <is>
          <t>Do you have a commercial vehicle? *</t>
        </is>
      </c>
      <c r="B14" s="41" t="inlineStr">
        <is>
          <t>No</t>
        </is>
      </c>
      <c r="C14" s="310" t="n"/>
      <c r="D14" s="310" t="n"/>
      <c r="E14" s="310" t="n"/>
      <c r="F14" s="310" t="n"/>
      <c r="G14" s="310" t="n"/>
      <c r="H14" s="310" t="n"/>
      <c r="I14" s="310" t="n"/>
      <c r="J14" s="310" t="n"/>
      <c r="K14" s="310" t="n"/>
      <c r="L14" s="310" t="n"/>
      <c r="M14" s="310" t="n"/>
      <c r="N14" s="310" t="n"/>
      <c r="O14" s="310" t="n"/>
      <c r="P14" s="310" t="n"/>
      <c r="Q14" s="310" t="n"/>
      <c r="R14" s="40" t="n"/>
      <c r="S14" s="40" t="n"/>
      <c r="T14" s="40" t="n"/>
      <c r="U14" s="40" t="n"/>
    </row>
    <row r="15" ht="34" customHeight="1" s="486">
      <c r="A15" s="238" t="inlineStr">
        <is>
          <t>Do you earn any income from a foreign country? *</t>
        </is>
      </c>
      <c r="B15" s="41" t="inlineStr">
        <is>
          <t>No</t>
        </is>
      </c>
      <c r="C15" s="310" t="n"/>
      <c r="D15" s="310" t="n"/>
      <c r="E15" s="310" t="n"/>
      <c r="F15" s="310" t="n"/>
      <c r="G15" s="310" t="n"/>
      <c r="H15" s="310" t="n"/>
      <c r="I15" s="310" t="n"/>
      <c r="J15" s="310" t="n"/>
      <c r="K15" s="310" t="n"/>
      <c r="L15" s="310" t="n"/>
      <c r="M15" s="310" t="n"/>
      <c r="N15" s="310" t="n"/>
      <c r="O15" s="310" t="n"/>
      <c r="P15" s="310" t="n"/>
      <c r="Q15" s="310" t="n"/>
      <c r="R15" s="40" t="n"/>
      <c r="S15" s="40" t="n"/>
      <c r="T15" s="40" t="n"/>
      <c r="U15" s="40" t="n"/>
    </row>
    <row r="16" ht="34" customHeight="1" s="486">
      <c r="A16" s="238" t="inlineStr">
        <is>
          <t>Have you been issued the Exemption Certificate for disablity? *</t>
        </is>
      </c>
      <c r="B16" s="41" t="inlineStr">
        <is>
          <t>No</t>
        </is>
      </c>
      <c r="C16" s="310" t="n"/>
      <c r="D16" s="310" t="n"/>
      <c r="E16" s="310" t="n"/>
      <c r="F16" s="310" t="n"/>
      <c r="G16" s="310" t="n"/>
      <c r="H16" s="310" t="n"/>
      <c r="I16" s="310" t="n"/>
      <c r="J16" s="310" t="n"/>
      <c r="K16" s="310" t="n"/>
      <c r="L16" s="310" t="n"/>
      <c r="M16" s="310" t="n"/>
      <c r="N16" s="310" t="n"/>
      <c r="O16" s="310" t="n"/>
      <c r="P16" s="310" t="n"/>
      <c r="Q16" s="310" t="n"/>
      <c r="R16" s="40" t="n"/>
      <c r="S16" s="40" t="n"/>
      <c r="T16" s="40" t="n"/>
      <c r="U16" s="40" t="n"/>
    </row>
    <row r="17" ht="17" customHeight="1" s="486">
      <c r="A17" s="211" t="inlineStr">
        <is>
          <t>Do you want to declare Wife's Income? *</t>
        </is>
      </c>
      <c r="B17" s="586" t="inlineStr">
        <is>
          <t>No</t>
        </is>
      </c>
      <c r="C17" s="310" t="n"/>
      <c r="D17" s="310" t="n"/>
      <c r="E17" s="310" t="n"/>
      <c r="F17" s="310" t="n"/>
      <c r="G17" s="310" t="n"/>
      <c r="H17" s="310" t="n"/>
      <c r="I17" s="310" t="n"/>
      <c r="J17" s="310" t="n"/>
      <c r="K17" s="310" t="n"/>
      <c r="L17" s="310" t="n"/>
      <c r="M17" s="310" t="n"/>
      <c r="N17" s="310" t="n"/>
      <c r="O17" s="310" t="n"/>
      <c r="P17" s="310" t="n"/>
      <c r="Q17" s="310" t="n"/>
      <c r="R17" s="40" t="n"/>
      <c r="S17" s="40" t="n"/>
      <c r="T17" s="40" t="n"/>
      <c r="U17" s="40" t="n"/>
    </row>
    <row r="18" ht="17" customHeight="1" s="486">
      <c r="A18" s="211" t="inlineStr">
        <is>
          <t>Wife's PIN *</t>
        </is>
      </c>
      <c r="B18" s="286" t="n"/>
      <c r="C18" s="420" t="inlineStr">
        <is>
          <t>30/06/2024</t>
        </is>
      </c>
      <c r="D18" s="419" t="inlineStr">
        <is>
          <t>01/01/2024</t>
        </is>
      </c>
      <c r="E18" s="310" t="n">
        <v>31</v>
      </c>
      <c r="F18" s="310" t="inlineStr">
        <is>
          <t>st</t>
        </is>
      </c>
      <c r="G18" s="310" t="n"/>
      <c r="H18" s="310" t="n"/>
      <c r="I18" s="310" t="n"/>
      <c r="J18" s="310" t="n"/>
      <c r="K18" s="310" t="n"/>
      <c r="L18" s="310" t="n"/>
      <c r="M18" s="310" t="n"/>
      <c r="N18" s="310" t="n"/>
      <c r="O18" s="310" t="n"/>
      <c r="P18" s="310" t="n"/>
      <c r="Q18" s="310" t="n"/>
      <c r="R18" s="40" t="n"/>
      <c r="S18" s="40" t="n"/>
      <c r="T18" s="40" t="n"/>
      <c r="U18" s="40" t="n"/>
    </row>
    <row r="19" ht="34" customHeight="1" s="486">
      <c r="A19" s="238" t="inlineStr">
        <is>
          <t>Does your wife have any income other than employment income? *</t>
        </is>
      </c>
      <c r="B19" s="286" t="n"/>
      <c r="C19" s="310">
        <f>IF(ISERROR(LOOKUP(B19,SortedDeclareIncomeYN,DeclareIncomeYNCode)),"",LOOKUP(B19,SortedDeclareIncomeYN,DeclareIncomeYNCode))</f>
        <v/>
      </c>
      <c r="D19" s="310" t="n"/>
      <c r="E19" s="310" t="n">
        <v>12</v>
      </c>
      <c r="F19" s="310" t="inlineStr">
        <is>
          <t>December</t>
        </is>
      </c>
      <c r="G19" s="310" t="n"/>
      <c r="H19" s="310" t="n"/>
      <c r="I19" s="310" t="n"/>
      <c r="J19" s="310" t="n"/>
      <c r="K19" s="310" t="n"/>
      <c r="L19" s="310" t="n"/>
      <c r="M19" s="310" t="n"/>
      <c r="N19" s="310" t="n"/>
      <c r="O19" s="310" t="n"/>
      <c r="P19" s="310" t="n"/>
      <c r="Q19" s="310" t="n"/>
      <c r="R19" s="40" t="n"/>
      <c r="S19" s="40" t="n"/>
      <c r="T19" s="40" t="n"/>
      <c r="U19" s="40" t="n"/>
    </row>
    <row r="20" ht="34" customHeight="1" s="486">
      <c r="A20" s="238" t="inlineStr">
        <is>
          <t>Does your wife have been issued the Exemption Certificate for disablity? *</t>
        </is>
      </c>
      <c r="B20" s="286" t="n"/>
      <c r="C20" s="310" t="n"/>
      <c r="D20" s="310" t="n"/>
      <c r="E20" s="310" t="n"/>
      <c r="F20" s="310" t="n"/>
      <c r="G20" s="310" t="n"/>
      <c r="H20" s="310" t="n"/>
      <c r="I20" s="310" t="n"/>
      <c r="J20" s="310" t="n"/>
      <c r="K20" s="310" t="n"/>
      <c r="L20" s="310" t="n"/>
      <c r="M20" s="310" t="n"/>
      <c r="N20" s="310" t="n"/>
      <c r="O20" s="310" t="n"/>
      <c r="P20" s="310" t="n"/>
      <c r="Q20" s="310" t="n"/>
      <c r="R20" s="40" t="n"/>
      <c r="S20" s="40" t="n"/>
      <c r="T20" s="40" t="n"/>
      <c r="U20" s="40" t="n"/>
    </row>
    <row r="21" ht="31.5" customFormat="1" customHeight="1" s="46">
      <c r="A21" s="505" t="inlineStr">
        <is>
          <t xml:space="preserve">Section A Part 2 : Bank Details </t>
        </is>
      </c>
      <c r="B21" s="481" t="n"/>
      <c r="C21" s="310" t="n"/>
      <c r="D21" s="310" t="n"/>
      <c r="E21" s="310" t="n">
        <v>2023</v>
      </c>
      <c r="F21" s="310" t="n"/>
      <c r="G21" s="310" t="n"/>
      <c r="H21" s="310" t="n"/>
      <c r="I21" s="310" t="n"/>
      <c r="J21" s="310" t="n"/>
      <c r="K21" s="310" t="n"/>
      <c r="L21" s="310" t="n"/>
      <c r="M21" s="310" t="n"/>
      <c r="N21" s="310" t="n"/>
      <c r="O21" s="310" t="n"/>
      <c r="P21" s="310" t="n"/>
      <c r="Q21" s="310" t="n"/>
      <c r="R21" s="40" t="n"/>
      <c r="S21" s="40" t="n"/>
      <c r="T21" s="40" t="n"/>
      <c r="U21" s="40" t="n"/>
    </row>
    <row r="22" ht="21" customHeight="1" s="486">
      <c r="A22" s="145" t="inlineStr">
        <is>
          <t>Description</t>
        </is>
      </c>
      <c r="B22" s="146" t="inlineStr">
        <is>
          <t>Details</t>
        </is>
      </c>
      <c r="C22" s="310" t="n"/>
      <c r="D22" s="310" t="n"/>
      <c r="E22" s="310" t="n"/>
      <c r="F22" s="310" t="n"/>
      <c r="G22" s="310" t="n"/>
      <c r="H22" s="310" t="n"/>
      <c r="I22" s="310" t="n"/>
      <c r="J22" s="310" t="n"/>
      <c r="K22" s="310" t="n"/>
      <c r="L22" s="310" t="n"/>
      <c r="M22" s="310" t="n"/>
      <c r="N22" s="310" t="n"/>
      <c r="O22" s="310" t="n"/>
      <c r="P22" s="310" t="n"/>
      <c r="Q22" s="310" t="n"/>
      <c r="R22" s="40" t="n"/>
      <c r="S22" s="40" t="n"/>
      <c r="T22" s="40" t="n"/>
      <c r="U22" s="40" t="n"/>
    </row>
    <row r="23" ht="17" customHeight="1" s="486">
      <c r="A23" s="24" t="inlineStr">
        <is>
          <t>Bank Name *</t>
        </is>
      </c>
      <c r="B23" s="285" t="n"/>
      <c r="C23" s="310" t="n"/>
      <c r="D23" s="310">
        <f>IF(ISERROR(LOOKUP(B23,BankNames,BankId)),"",LOOKUP(B23,BankNames,BankId))</f>
        <v/>
      </c>
      <c r="E23" s="310" t="n"/>
      <c r="F23" s="310" t="n"/>
      <c r="G23" s="310" t="n"/>
      <c r="H23" s="310" t="n"/>
      <c r="I23" s="310" t="n"/>
      <c r="J23" s="310" t="n"/>
      <c r="K23" s="310" t="n"/>
      <c r="L23" s="310" t="n"/>
      <c r="M23" s="310" t="n"/>
      <c r="N23" s="310" t="n"/>
      <c r="O23" s="310" t="n"/>
      <c r="P23" s="310" t="n"/>
      <c r="Q23" s="310" t="n"/>
      <c r="R23" s="40" t="n"/>
      <c r="S23" s="40" t="n"/>
      <c r="T23" s="40" t="n"/>
      <c r="U23" s="40" t="n"/>
    </row>
    <row r="24" ht="17" customHeight="1" s="486">
      <c r="A24" s="24" t="inlineStr">
        <is>
          <t>Branch Name *</t>
        </is>
      </c>
      <c r="B24" s="285" t="n"/>
      <c r="C24" s="310" t="n"/>
      <c r="D24" s="310">
        <f>IF(ISERROR(LOOKUP(B24,INDIRECT(IF(ISERROR(LOOKUP(B23,BankNames,searchBankRange)),"",LOOKUP(B23,BankNames,searchBankRange))),INDIRECT(IF(ISERROR(LOOKUP(B23,BankNames,searchBranchRange)),"",LOOKUP(B23,BankNames,searchBranchRange))))),"",LOOKUP(B24,INDIRECT(IF(ISERROR(LOOKUP(B23,BankNames,searchBankRange)),"",LOOKUP(B23,BankNames,searchBankRange))),INDIRECT(IF(ISERROR(LOOKUP(B23,BankNames,searchBranchRange)),"",LOOKUP(B23,BankNames,searchBranchRange)))))</f>
        <v/>
      </c>
      <c r="E24" s="310" t="n"/>
      <c r="F24" s="310" t="n"/>
      <c r="G24" s="310" t="n"/>
      <c r="H24" s="310" t="n"/>
      <c r="I24" s="310" t="n"/>
      <c r="J24" s="310" t="n"/>
      <c r="K24" s="310" t="n"/>
      <c r="L24" s="310" t="n"/>
      <c r="M24" s="310" t="n"/>
      <c r="N24" s="310" t="n"/>
      <c r="O24" s="310" t="n"/>
      <c r="P24" s="310" t="n"/>
      <c r="Q24" s="310" t="n"/>
      <c r="R24" s="40" t="n"/>
      <c r="S24" s="40" t="n"/>
      <c r="T24" s="40" t="n"/>
      <c r="U24" s="40" t="n"/>
    </row>
    <row r="25" ht="17" customHeight="1" s="486">
      <c r="A25" s="24" t="inlineStr">
        <is>
          <t>City *</t>
        </is>
      </c>
      <c r="B25" s="285" t="n"/>
      <c r="C25" s="310" t="n"/>
      <c r="D25" s="310" t="n"/>
      <c r="E25" s="310" t="n"/>
      <c r="F25" s="310" t="n"/>
      <c r="G25" s="310" t="n"/>
      <c r="H25" s="310" t="n"/>
      <c r="I25" s="310" t="n"/>
      <c r="J25" s="310" t="n"/>
      <c r="K25" s="310" t="n"/>
      <c r="L25" s="310" t="n"/>
      <c r="M25" s="310" t="n"/>
      <c r="N25" s="310" t="n"/>
      <c r="O25" s="310" t="n"/>
      <c r="P25" s="310" t="n"/>
      <c r="Q25" s="310" t="n"/>
      <c r="R25" s="40" t="n"/>
      <c r="S25" s="40" t="n"/>
      <c r="T25" s="40" t="n"/>
      <c r="U25" s="40" t="n"/>
    </row>
    <row r="26" ht="17" customHeight="1" s="486">
      <c r="A26" s="24" t="inlineStr">
        <is>
          <t>Account Holder's Name *</t>
        </is>
      </c>
      <c r="B26" s="286" t="n"/>
      <c r="C26" s="310" t="n"/>
      <c r="D26" s="310" t="n"/>
      <c r="E26" s="310" t="n"/>
      <c r="F26" s="310" t="n"/>
      <c r="G26" s="310" t="n"/>
      <c r="H26" s="310" t="n"/>
      <c r="I26" s="310" t="n"/>
      <c r="J26" s="310" t="n"/>
      <c r="K26" s="310" t="n"/>
      <c r="L26" s="310" t="n"/>
      <c r="M26" s="310" t="n"/>
      <c r="N26" s="310" t="n"/>
      <c r="O26" s="310" t="n"/>
      <c r="P26" s="310" t="n"/>
      <c r="Q26" s="310" t="n"/>
      <c r="R26" s="40" t="n"/>
      <c r="S26" s="40" t="n"/>
      <c r="T26" s="40" t="n"/>
      <c r="U26" s="40" t="n"/>
    </row>
    <row r="27" ht="17" customHeight="1" s="486">
      <c r="A27" s="148" t="inlineStr">
        <is>
          <t>Account Number *</t>
        </is>
      </c>
      <c r="B27" s="400" t="n"/>
      <c r="C27" s="310" t="n"/>
      <c r="D27" s="310" t="n"/>
      <c r="E27" s="310" t="n"/>
      <c r="F27" s="310" t="n"/>
      <c r="G27" s="310" t="n"/>
      <c r="H27" s="310" t="n"/>
      <c r="I27" s="310" t="n"/>
      <c r="J27" s="310" t="n"/>
      <c r="K27" s="310" t="n"/>
      <c r="L27" s="310" t="n"/>
      <c r="M27" s="310" t="n"/>
      <c r="N27" s="310" t="n"/>
      <c r="O27" s="310" t="n"/>
      <c r="P27" s="40" t="n"/>
      <c r="Q27" s="40" t="n"/>
      <c r="R27" s="40" t="n"/>
      <c r="S27" s="40" t="n"/>
      <c r="T27" s="40" t="n"/>
      <c r="U27" s="40" t="n"/>
    </row>
    <row r="28" ht="31.5" customFormat="1" customHeight="1" s="198">
      <c r="A28" s="504" t="inlineStr">
        <is>
          <t>Section A Part 3 : Details of Auditor</t>
        </is>
      </c>
      <c r="B28" s="491" t="n"/>
      <c r="C28" s="481" t="n"/>
      <c r="D28" s="249" t="n"/>
      <c r="E28" s="249" t="n"/>
      <c r="F28" s="40" t="n"/>
      <c r="G28" s="40" t="n"/>
      <c r="H28" s="40" t="n"/>
      <c r="I28" s="40" t="n"/>
      <c r="J28" s="40" t="n"/>
      <c r="K28" s="40" t="n"/>
      <c r="L28" s="40" t="n"/>
      <c r="M28" s="40" t="n"/>
      <c r="N28" s="40" t="n"/>
      <c r="O28" s="40" t="n"/>
      <c r="P28" s="40" t="n"/>
      <c r="Q28" s="40" t="n"/>
      <c r="R28" s="40" t="n"/>
      <c r="S28" s="40" t="n"/>
      <c r="T28" s="40" t="n"/>
      <c r="U28" s="40" t="n"/>
      <c r="Y28" s="198" t="inlineStr">
        <is>
          <t>Section AE : Details of Auditor</t>
        </is>
      </c>
      <c r="AC28" s="198" t="inlineStr">
        <is>
          <t>Section AE : Details of Auditor</t>
        </is>
      </c>
      <c r="AG28" s="198" t="inlineStr">
        <is>
          <t>Section AE : Details of Auditor</t>
        </is>
      </c>
      <c r="AK28" s="198" t="inlineStr">
        <is>
          <t>Section AE : Details of Auditor</t>
        </is>
      </c>
      <c r="AO28" s="198" t="inlineStr">
        <is>
          <t>Section AE : Details of Auditor</t>
        </is>
      </c>
      <c r="AS28" s="198" t="inlineStr">
        <is>
          <t>Section AE : Details of Auditor</t>
        </is>
      </c>
      <c r="AW28" s="198" t="inlineStr">
        <is>
          <t>Section AE : Details of Auditor</t>
        </is>
      </c>
      <c r="BA28" s="198" t="inlineStr">
        <is>
          <t>Section AE : Details of Auditor</t>
        </is>
      </c>
      <c r="BE28" s="198" t="inlineStr">
        <is>
          <t>Section AE : Details of Auditor</t>
        </is>
      </c>
      <c r="BI28" s="198" t="inlineStr">
        <is>
          <t>Section AE : Details of Auditor</t>
        </is>
      </c>
      <c r="BM28" s="198" t="inlineStr">
        <is>
          <t>Section AE : Details of Auditor</t>
        </is>
      </c>
      <c r="BQ28" s="198" t="inlineStr">
        <is>
          <t>Section AE : Details of Auditor</t>
        </is>
      </c>
      <c r="BU28" s="198" t="inlineStr">
        <is>
          <t>Section AE : Details of Auditor</t>
        </is>
      </c>
      <c r="BY28" s="198" t="inlineStr">
        <is>
          <t>Section AE : Details of Auditor</t>
        </is>
      </c>
      <c r="CC28" s="198" t="inlineStr">
        <is>
          <t>Section AE : Details of Auditor</t>
        </is>
      </c>
      <c r="CG28" s="198" t="inlineStr">
        <is>
          <t>Section AE : Details of Auditor</t>
        </is>
      </c>
      <c r="CK28" s="198" t="inlineStr">
        <is>
          <t>Section AE : Details of Auditor</t>
        </is>
      </c>
      <c r="CO28" s="198" t="inlineStr">
        <is>
          <t>Section AE : Details of Auditor</t>
        </is>
      </c>
      <c r="CS28" s="198" t="inlineStr">
        <is>
          <t>Section AE : Details of Auditor</t>
        </is>
      </c>
      <c r="CW28" s="198" t="inlineStr">
        <is>
          <t>Section AE : Details of Auditor</t>
        </is>
      </c>
      <c r="DA28" s="198" t="inlineStr">
        <is>
          <t>Section AE : Details of Auditor</t>
        </is>
      </c>
      <c r="DE28" s="198" t="inlineStr">
        <is>
          <t>Section AE : Details of Auditor</t>
        </is>
      </c>
      <c r="DI28" s="198" t="inlineStr">
        <is>
          <t>Section AE : Details of Auditor</t>
        </is>
      </c>
      <c r="DM28" s="198" t="inlineStr">
        <is>
          <t>Section AE : Details of Auditor</t>
        </is>
      </c>
      <c r="DQ28" s="198" t="inlineStr">
        <is>
          <t>Section AE : Details of Auditor</t>
        </is>
      </c>
      <c r="DU28" s="198" t="inlineStr">
        <is>
          <t>Section AE : Details of Auditor</t>
        </is>
      </c>
      <c r="DY28" s="198" t="inlineStr">
        <is>
          <t>Section AE : Details of Auditor</t>
        </is>
      </c>
      <c r="EC28" s="198" t="inlineStr">
        <is>
          <t>Section AE : Details of Auditor</t>
        </is>
      </c>
      <c r="EG28" s="198" t="inlineStr">
        <is>
          <t>Section AE : Details of Auditor</t>
        </is>
      </c>
      <c r="EK28" s="198" t="inlineStr">
        <is>
          <t>Section AE : Details of Auditor</t>
        </is>
      </c>
      <c r="EO28" s="198" t="inlineStr">
        <is>
          <t>Section AE : Details of Auditor</t>
        </is>
      </c>
      <c r="ES28" s="198" t="inlineStr">
        <is>
          <t>Section AE : Details of Auditor</t>
        </is>
      </c>
      <c r="EW28" s="198" t="inlineStr">
        <is>
          <t>Section AE : Details of Auditor</t>
        </is>
      </c>
      <c r="FA28" s="198" t="inlineStr">
        <is>
          <t>Section AE : Details of Auditor</t>
        </is>
      </c>
      <c r="FE28" s="198" t="inlineStr">
        <is>
          <t>Section AE : Details of Auditor</t>
        </is>
      </c>
      <c r="FI28" s="198" t="inlineStr">
        <is>
          <t>Section AE : Details of Auditor</t>
        </is>
      </c>
      <c r="FM28" s="198" t="inlineStr">
        <is>
          <t>Section AE : Details of Auditor</t>
        </is>
      </c>
      <c r="FQ28" s="198" t="inlineStr">
        <is>
          <t>Section AE : Details of Auditor</t>
        </is>
      </c>
      <c r="FU28" s="198" t="inlineStr">
        <is>
          <t>Section AE : Details of Auditor</t>
        </is>
      </c>
      <c r="FY28" s="198" t="inlineStr">
        <is>
          <t>Section AE : Details of Auditor</t>
        </is>
      </c>
      <c r="GC28" s="198" t="inlineStr">
        <is>
          <t>Section AE : Details of Auditor</t>
        </is>
      </c>
      <c r="GG28" s="198" t="inlineStr">
        <is>
          <t>Section AE : Details of Auditor</t>
        </is>
      </c>
      <c r="GK28" s="198" t="inlineStr">
        <is>
          <t>Section AE : Details of Auditor</t>
        </is>
      </c>
      <c r="GO28" s="198" t="inlineStr">
        <is>
          <t>Section AE : Details of Auditor</t>
        </is>
      </c>
      <c r="GS28" s="198" t="inlineStr">
        <is>
          <t>Section AE : Details of Auditor</t>
        </is>
      </c>
      <c r="GW28" s="198" t="inlineStr">
        <is>
          <t>Section AE : Details of Auditor</t>
        </is>
      </c>
      <c r="HA28" s="198" t="inlineStr">
        <is>
          <t>Section AE : Details of Auditor</t>
        </is>
      </c>
      <c r="HE28" s="198" t="inlineStr">
        <is>
          <t>Section AE : Details of Auditor</t>
        </is>
      </c>
      <c r="HI28" s="198" t="inlineStr">
        <is>
          <t>Section AE : Details of Auditor</t>
        </is>
      </c>
      <c r="HM28" s="198" t="inlineStr">
        <is>
          <t>Section AE : Details of Auditor</t>
        </is>
      </c>
      <c r="HQ28" s="198" t="inlineStr">
        <is>
          <t>Section AE : Details of Auditor</t>
        </is>
      </c>
      <c r="HU28" s="198" t="inlineStr">
        <is>
          <t>Section AE : Details of Auditor</t>
        </is>
      </c>
      <c r="HY28" s="198" t="inlineStr">
        <is>
          <t>Section AE : Details of Auditor</t>
        </is>
      </c>
      <c r="IC28" s="198" t="inlineStr">
        <is>
          <t>Section AE : Details of Auditor</t>
        </is>
      </c>
      <c r="IG28" s="198" t="inlineStr">
        <is>
          <t>Section AE : Details of Auditor</t>
        </is>
      </c>
      <c r="IK28" s="198" t="inlineStr">
        <is>
          <t>Section AE : Details of Auditor</t>
        </is>
      </c>
      <c r="IO28" s="198" t="inlineStr">
        <is>
          <t>Section AE : Details of Auditor</t>
        </is>
      </c>
      <c r="IS28" s="198" t="inlineStr">
        <is>
          <t>Section AE : Details of Auditor</t>
        </is>
      </c>
    </row>
    <row r="29" ht="21" customFormat="1" customHeight="1" s="198">
      <c r="A29" s="145" t="inlineStr">
        <is>
          <t>Description</t>
        </is>
      </c>
      <c r="B29" s="240" t="inlineStr">
        <is>
          <t>Details (Self)</t>
        </is>
      </c>
      <c r="C29" s="240" t="inlineStr">
        <is>
          <t>Details (Wife)</t>
        </is>
      </c>
      <c r="D29" s="249" t="n"/>
      <c r="E29" s="249" t="n"/>
      <c r="F29" s="40" t="n"/>
      <c r="G29" s="40" t="n"/>
      <c r="H29" s="40" t="n"/>
      <c r="I29" s="40" t="n"/>
      <c r="J29" s="40" t="n"/>
      <c r="K29" s="40" t="n"/>
      <c r="L29" s="40" t="n"/>
      <c r="M29" s="40" t="n"/>
      <c r="N29" s="40" t="n"/>
      <c r="O29" s="40" t="n"/>
      <c r="P29" s="40" t="n"/>
      <c r="Q29" s="40" t="n"/>
      <c r="R29" s="40" t="n"/>
      <c r="S29" s="40" t="n"/>
      <c r="T29" s="40" t="n"/>
      <c r="U29" s="40" t="n"/>
    </row>
    <row r="30" ht="17" customFormat="1" customHeight="1" s="198">
      <c r="A30" s="24" t="inlineStr">
        <is>
          <t>PIN of Auditor</t>
        </is>
      </c>
      <c r="B30" s="43" t="n"/>
      <c r="C30" s="286" t="n"/>
      <c r="D30" s="249">
        <f>IF(audit.PINOfAuditorS&lt;&gt;"","Y","N")</f>
        <v/>
      </c>
      <c r="E30" s="249">
        <f>IF(audit.PINOfAuditorW&lt;&gt;"","Y","N")</f>
        <v/>
      </c>
      <c r="F30" s="40" t="n"/>
      <c r="G30" s="40" t="n"/>
      <c r="H30" s="40" t="n"/>
      <c r="I30" s="40" t="n"/>
      <c r="J30" s="40" t="n"/>
      <c r="K30" s="40" t="n"/>
      <c r="L30" s="40" t="n"/>
      <c r="M30" s="40" t="n"/>
      <c r="N30" s="40" t="n"/>
      <c r="O30" s="40" t="n"/>
      <c r="P30" s="40" t="n"/>
      <c r="Q30" s="40" t="n"/>
      <c r="R30" s="40" t="n"/>
      <c r="S30" s="40" t="n"/>
      <c r="T30" s="40" t="n"/>
      <c r="U30" s="40" t="n"/>
    </row>
    <row r="31" ht="17" customFormat="1" customHeight="1" s="198">
      <c r="A31" s="24" t="inlineStr">
        <is>
          <t>Name of Auditor</t>
        </is>
      </c>
      <c r="B31" s="42" t="n"/>
      <c r="C31" s="285" t="n"/>
      <c r="D31" s="249" t="n"/>
      <c r="E31" s="249" t="n"/>
      <c r="F31" s="40" t="n"/>
      <c r="G31" s="40" t="n"/>
      <c r="H31" s="40" t="n"/>
      <c r="I31" s="40" t="n"/>
      <c r="J31" s="40" t="n"/>
      <c r="K31" s="40" t="n"/>
      <c r="L31" s="40" t="n"/>
      <c r="M31" s="40" t="n"/>
      <c r="N31" s="40" t="n"/>
      <c r="O31" s="40" t="n"/>
      <c r="P31" s="40" t="n"/>
      <c r="Q31" s="40" t="n"/>
      <c r="R31" s="40" t="n"/>
      <c r="S31" s="40" t="n"/>
      <c r="T31" s="40" t="n"/>
      <c r="U31" s="40" t="n"/>
    </row>
    <row r="32" ht="17" customFormat="1" customHeight="1" s="198">
      <c r="A32" s="24" t="inlineStr">
        <is>
          <t>Date of Audit Certificate</t>
        </is>
      </c>
      <c r="B32" s="257" t="n"/>
      <c r="C32" s="456" t="n"/>
      <c r="D32" s="249" t="n"/>
      <c r="E32" s="249" t="n"/>
      <c r="F32" s="40" t="n"/>
      <c r="G32" s="40" t="n"/>
      <c r="H32" s="40" t="n"/>
      <c r="I32" s="40" t="n"/>
      <c r="J32" s="40" t="n"/>
      <c r="K32" s="40" t="n"/>
      <c r="L32" s="40" t="n"/>
      <c r="M32" s="40" t="n"/>
      <c r="N32" s="40" t="n"/>
      <c r="O32" s="40" t="n"/>
      <c r="P32" s="40" t="n"/>
      <c r="Q32" s="40" t="n"/>
      <c r="R32" s="40" t="n"/>
      <c r="S32" s="40" t="n"/>
      <c r="T32" s="40" t="n"/>
      <c r="U32" s="40" t="n"/>
    </row>
    <row r="33" ht="31.5" customFormat="1" customHeight="1" s="198">
      <c r="A33" s="508" t="inlineStr">
        <is>
          <t>Section A Part 4  : Landlord Details (Self)</t>
        </is>
      </c>
      <c r="B33" s="509" t="n"/>
      <c r="C33" s="509" t="n"/>
      <c r="D33" s="509" t="n"/>
      <c r="E33" s="509" t="n"/>
      <c r="F33" s="287" t="n"/>
      <c r="G33" s="287" t="n"/>
      <c r="H33" s="287" t="n"/>
      <c r="I33" s="287" t="n"/>
      <c r="J33" s="287" t="n"/>
      <c r="K33" s="287" t="n"/>
      <c r="L33" s="287" t="n"/>
      <c r="M33" s="287" t="n"/>
      <c r="N33" s="287" t="n"/>
      <c r="O33" s="287" t="n"/>
      <c r="P33" s="288" t="n"/>
      <c r="Q33" s="72" t="n"/>
      <c r="R33" s="72" t="n"/>
      <c r="S33" s="72" t="n"/>
      <c r="T33" s="72" t="n"/>
      <c r="U33" s="72" t="n"/>
    </row>
    <row r="34" ht="21" customFormat="1" customHeight="1" s="198">
      <c r="A34" s="498" t="n"/>
      <c r="B34" s="499" t="n"/>
      <c r="C34" s="500" t="inlineStr">
        <is>
          <t>Physical Full Address</t>
        </is>
      </c>
      <c r="D34" s="502" t="n"/>
      <c r="E34" s="502" t="n"/>
      <c r="F34" s="502" t="n"/>
      <c r="G34" s="502" t="n"/>
      <c r="H34" s="502" t="n"/>
      <c r="I34" s="502" t="n"/>
      <c r="J34" s="499" t="n"/>
      <c r="K34" s="500" t="inlineStr">
        <is>
          <t>Postal Address</t>
        </is>
      </c>
      <c r="L34" s="502" t="n"/>
      <c r="M34" s="499" t="n"/>
      <c r="N34" s="500" t="inlineStr">
        <is>
          <t>Period of Occupancy During the Year</t>
        </is>
      </c>
      <c r="O34" s="499" t="n"/>
      <c r="P34" s="291" t="n"/>
      <c r="Q34" s="292" t="n"/>
      <c r="R34" s="72" t="n"/>
      <c r="S34" s="72" t="n"/>
      <c r="T34" s="72" t="n"/>
      <c r="U34" s="72" t="n"/>
    </row>
    <row r="35" ht="36.75" customFormat="1" customHeight="1" s="198">
      <c r="A35" s="34" t="inlineStr">
        <is>
          <t>PIN of Landlord (If Available)</t>
        </is>
      </c>
      <c r="B35" s="34" t="inlineStr">
        <is>
          <t>Name of Landlord</t>
        </is>
      </c>
      <c r="C35" s="34" t="inlineStr">
        <is>
          <t>L.R.Number</t>
        </is>
      </c>
      <c r="D35" s="34" t="inlineStr">
        <is>
          <t>Building</t>
        </is>
      </c>
      <c r="E35" s="34" t="inlineStr">
        <is>
          <t>Street/Road</t>
        </is>
      </c>
      <c r="F35" s="34" t="inlineStr">
        <is>
          <t>City/Town</t>
        </is>
      </c>
      <c r="G35" s="34" t="inlineStr">
        <is>
          <t>County</t>
        </is>
      </c>
      <c r="H35" s="34" t="inlineStr">
        <is>
          <t>District</t>
        </is>
      </c>
      <c r="I35" s="34" t="inlineStr">
        <is>
          <t>Tax Area / Locality</t>
        </is>
      </c>
      <c r="J35" s="34" t="inlineStr">
        <is>
          <t>Descriptive Address</t>
        </is>
      </c>
      <c r="K35" s="34" t="inlineStr">
        <is>
          <t>P.O.Box</t>
        </is>
      </c>
      <c r="L35" s="34" t="inlineStr">
        <is>
          <t>Post Office Name</t>
        </is>
      </c>
      <c r="M35" s="34" t="inlineStr">
        <is>
          <t>Postal Code</t>
        </is>
      </c>
      <c r="N35" s="34" t="inlineStr">
        <is>
          <t>Date From</t>
        </is>
      </c>
      <c r="O35" s="34" t="inlineStr">
        <is>
          <t>Date To</t>
        </is>
      </c>
      <c r="P35" s="34" t="inlineStr">
        <is>
          <t>Amount of Gross Rent Paid or Payable (Ksh)</t>
        </is>
      </c>
      <c r="Q35" s="72" t="inlineStr">
        <is>
          <t>strSpouseCode</t>
        </is>
      </c>
      <c r="R35" s="72" t="n"/>
      <c r="S35" s="72" t="inlineStr">
        <is>
          <t>Rent Code</t>
        </is>
      </c>
      <c r="T35" s="72" t="n"/>
      <c r="U35" s="72" t="n"/>
    </row>
    <row r="36" ht="16" customFormat="1" customHeight="1" s="525">
      <c r="A36" s="48" t="n"/>
      <c r="B36" s="53" t="n"/>
      <c r="C36" s="53" t="n"/>
      <c r="D36" s="53" t="n"/>
      <c r="E36" s="53" t="n"/>
      <c r="F36" s="53" t="n"/>
      <c r="G36" s="53" t="n"/>
      <c r="H36" s="53" t="n"/>
      <c r="I36" s="197" t="n"/>
      <c r="J36" s="53" t="n"/>
      <c r="K36" s="54" t="n"/>
      <c r="L36" s="283" t="n"/>
      <c r="M36" s="355" t="n"/>
      <c r="N36" s="257" t="n"/>
      <c r="O36" s="257" t="n"/>
      <c r="P36" s="55" t="n"/>
      <c r="Q36" s="61">
        <f>IF(B36="","",CONCATENATE("H"))</f>
        <v/>
      </c>
      <c r="R36" s="72" t="n"/>
      <c r="S36" s="61">
        <f>IF(B36="","",CONCATENATE("P1H"))</f>
        <v/>
      </c>
      <c r="T36" s="61" t="n"/>
      <c r="U36" s="61" t="n"/>
    </row>
    <row r="37" ht="16" customFormat="1" customHeight="1" s="525">
      <c r="A37" s="48" t="n"/>
      <c r="B37" s="53" t="n"/>
      <c r="C37" s="53" t="n"/>
      <c r="D37" s="53" t="n"/>
      <c r="E37" s="53" t="n"/>
      <c r="F37" s="53" t="n"/>
      <c r="G37" s="53" t="n"/>
      <c r="H37" s="53" t="n"/>
      <c r="I37" s="197" t="n"/>
      <c r="J37" s="53" t="n"/>
      <c r="K37" s="54" t="n"/>
      <c r="L37" s="283" t="n"/>
      <c r="M37" s="355" t="n"/>
      <c r="N37" s="257" t="n"/>
      <c r="O37" s="257" t="n"/>
      <c r="P37" s="55" t="n"/>
      <c r="Q37" s="61">
        <f>IF(B37="","",CONCATENATE("H"))</f>
        <v/>
      </c>
      <c r="R37" s="61" t="n"/>
      <c r="S37" s="61">
        <f>IF(B37="","",CONCATENATE("P1H"))</f>
        <v/>
      </c>
      <c r="T37" s="61" t="n"/>
      <c r="U37" s="61" t="n"/>
    </row>
    <row r="38" ht="16" customFormat="1" customHeight="1" s="199">
      <c r="A38" s="501" t="inlineStr">
        <is>
          <t>Total</t>
        </is>
      </c>
      <c r="B38" s="491" t="n"/>
      <c r="C38" s="491" t="n"/>
      <c r="D38" s="491" t="n"/>
      <c r="E38" s="491" t="n"/>
      <c r="F38" s="491" t="n"/>
      <c r="G38" s="491" t="n"/>
      <c r="H38" s="491" t="n"/>
      <c r="I38" s="491" t="n"/>
      <c r="J38" s="491" t="n"/>
      <c r="K38" s="491" t="n"/>
      <c r="L38" s="491" t="n"/>
      <c r="M38" s="491" t="n"/>
      <c r="N38" s="491" t="n"/>
      <c r="O38" s="481" t="n"/>
      <c r="P38" s="130">
        <f>SUM(Q36:OFFSET(RentPaid.GrossRentalIncomeS,-1,0))</f>
        <v/>
      </c>
      <c r="Q38" s="184" t="n"/>
      <c r="R38" s="184" t="n"/>
      <c r="S38" s="184" t="n"/>
      <c r="T38" s="184" t="n"/>
      <c r="U38" s="184" t="n"/>
    </row>
    <row r="39" ht="17.25" customFormat="1" customHeight="1" s="199">
      <c r="A39" s="52" t="n"/>
      <c r="B39" s="52" t="n"/>
      <c r="C39" s="52" t="n"/>
      <c r="D39" s="52" t="n"/>
      <c r="E39" s="52" t="n"/>
      <c r="F39" s="52" t="n"/>
      <c r="G39" s="52" t="n"/>
      <c r="H39" s="52" t="n"/>
      <c r="I39" s="52" t="n"/>
      <c r="J39" s="52" t="n"/>
      <c r="K39" s="52" t="n"/>
      <c r="L39" s="52" t="n"/>
      <c r="M39" s="52" t="n"/>
      <c r="N39" s="52" t="n"/>
      <c r="O39" s="52" t="n"/>
      <c r="P39" s="52" t="n"/>
      <c r="Q39" s="185" t="n"/>
      <c r="R39" s="185" t="n"/>
      <c r="S39" s="185" t="n"/>
      <c r="T39" s="185" t="n"/>
      <c r="U39" s="185" t="n"/>
    </row>
    <row r="40" ht="17.25" customFormat="1" customHeight="1" s="199">
      <c r="A40" s="52" t="n"/>
      <c r="B40" s="52" t="n"/>
      <c r="C40" s="52" t="n"/>
      <c r="D40" s="52" t="n"/>
      <c r="E40" s="52" t="n"/>
      <c r="F40" s="52" t="n"/>
      <c r="G40" s="52" t="n"/>
      <c r="H40" s="52" t="n"/>
      <c r="I40" s="52" t="n"/>
      <c r="J40" s="52" t="n"/>
      <c r="K40" s="52" t="n"/>
      <c r="L40" s="52" t="n"/>
      <c r="M40" s="52" t="n"/>
      <c r="N40" s="52" t="n"/>
      <c r="O40" s="52" t="n"/>
      <c r="P40" s="52" t="n"/>
      <c r="Q40" s="185" t="n"/>
      <c r="R40" s="185" t="n"/>
      <c r="S40" s="185" t="n"/>
      <c r="T40" s="185" t="n"/>
      <c r="U40" s="185" t="n"/>
    </row>
    <row r="41" ht="17.25" customFormat="1" customHeight="1" s="199">
      <c r="A41" s="52" t="n"/>
      <c r="B41" s="52" t="n"/>
      <c r="C41" s="52" t="n"/>
      <c r="D41" s="52" t="n"/>
      <c r="E41" s="52" t="n"/>
      <c r="F41" s="52" t="n"/>
      <c r="G41" s="52" t="n"/>
      <c r="H41" s="52" t="n"/>
      <c r="I41" s="52" t="n"/>
      <c r="J41" s="52" t="n"/>
      <c r="K41" s="52" t="n"/>
      <c r="L41" s="52" t="n"/>
      <c r="M41" s="52" t="n"/>
      <c r="N41" s="52" t="n"/>
      <c r="O41" s="52" t="n"/>
      <c r="P41" s="52" t="n"/>
      <c r="Q41" s="185" t="n"/>
      <c r="R41" s="185" t="n"/>
      <c r="S41" s="185" t="n"/>
      <c r="T41" s="185" t="n"/>
      <c r="U41" s="185" t="n"/>
    </row>
    <row r="42" ht="31.5" customFormat="1" customHeight="1" s="198">
      <c r="A42" s="508" t="inlineStr">
        <is>
          <t>Section A Part 4  : Landlord Details (Wife)</t>
        </is>
      </c>
      <c r="B42" s="509" t="n"/>
      <c r="C42" s="509" t="n"/>
      <c r="D42" s="509" t="n"/>
      <c r="E42" s="509" t="n"/>
      <c r="F42" s="287" t="n"/>
      <c r="G42" s="287" t="n"/>
      <c r="H42" s="287" t="n"/>
      <c r="I42" s="287" t="n"/>
      <c r="J42" s="287" t="n"/>
      <c r="K42" s="287" t="n"/>
      <c r="L42" s="287" t="n"/>
      <c r="M42" s="287" t="n"/>
      <c r="N42" s="287" t="n"/>
      <c r="O42" s="287" t="n"/>
      <c r="P42" s="288" t="n"/>
      <c r="Q42" s="72" t="n"/>
      <c r="R42" s="72" t="n"/>
      <c r="S42" s="72" t="n"/>
      <c r="T42" s="72" t="n"/>
      <c r="U42" s="72" t="n"/>
    </row>
    <row r="43" ht="21" customFormat="1" customHeight="1" s="198">
      <c r="A43" s="510" t="n"/>
      <c r="B43" s="499" t="n"/>
      <c r="C43" s="500" t="inlineStr">
        <is>
          <t>Physical Full Address</t>
        </is>
      </c>
      <c r="D43" s="502" t="n"/>
      <c r="E43" s="502" t="n"/>
      <c r="F43" s="502" t="n"/>
      <c r="G43" s="502" t="n"/>
      <c r="H43" s="502" t="n"/>
      <c r="I43" s="502" t="n"/>
      <c r="J43" s="499" t="n"/>
      <c r="K43" s="500" t="inlineStr">
        <is>
          <t>Postal Address</t>
        </is>
      </c>
      <c r="L43" s="502" t="n"/>
      <c r="M43" s="499" t="n"/>
      <c r="N43" s="500" t="inlineStr">
        <is>
          <t>Period of Occupancy During the Year</t>
        </is>
      </c>
      <c r="O43" s="499" t="n"/>
      <c r="P43" s="291" t="n"/>
      <c r="Q43" s="292" t="n"/>
      <c r="R43" s="72" t="n"/>
      <c r="S43" s="72" t="n"/>
      <c r="T43" s="72" t="n"/>
      <c r="U43" s="72" t="n"/>
    </row>
    <row r="44" ht="39" customFormat="1" customHeight="1" s="198">
      <c r="A44" s="34" t="inlineStr">
        <is>
          <t>PIN of Landlord (If Available)</t>
        </is>
      </c>
      <c r="B44" s="34" t="inlineStr">
        <is>
          <t>Name of Landlord</t>
        </is>
      </c>
      <c r="C44" s="34" t="inlineStr">
        <is>
          <t>L.R.Number</t>
        </is>
      </c>
      <c r="D44" s="34" t="inlineStr">
        <is>
          <t>Building</t>
        </is>
      </c>
      <c r="E44" s="34" t="inlineStr">
        <is>
          <t>Street/Road</t>
        </is>
      </c>
      <c r="F44" s="34" t="inlineStr">
        <is>
          <t>City/Town</t>
        </is>
      </c>
      <c r="G44" s="34" t="inlineStr">
        <is>
          <t>County</t>
        </is>
      </c>
      <c r="H44" s="34" t="inlineStr">
        <is>
          <t>District</t>
        </is>
      </c>
      <c r="I44" s="34" t="inlineStr">
        <is>
          <t>Tax Area / Locality</t>
        </is>
      </c>
      <c r="J44" s="34" t="inlineStr">
        <is>
          <t>Descriptive Address</t>
        </is>
      </c>
      <c r="K44" s="34" t="inlineStr">
        <is>
          <t>P.O.Box</t>
        </is>
      </c>
      <c r="L44" s="34" t="inlineStr">
        <is>
          <t>Post Office Name</t>
        </is>
      </c>
      <c r="M44" s="34" t="inlineStr">
        <is>
          <t>Postal Code</t>
        </is>
      </c>
      <c r="N44" s="34" t="inlineStr">
        <is>
          <t>Date From</t>
        </is>
      </c>
      <c r="O44" s="34" t="inlineStr">
        <is>
          <t>Date To</t>
        </is>
      </c>
      <c r="P44" s="34" t="inlineStr">
        <is>
          <t>Amount of Gross Rent Paid or Payable (Ksh)</t>
        </is>
      </c>
      <c r="Q44" s="72" t="inlineStr">
        <is>
          <t>strSpouseCode</t>
        </is>
      </c>
      <c r="R44" s="72" t="n"/>
      <c r="S44" s="72" t="inlineStr">
        <is>
          <t>Rent Code</t>
        </is>
      </c>
      <c r="T44" s="72" t="n"/>
      <c r="U44" s="72" t="n"/>
    </row>
    <row r="45" ht="16" customFormat="1" customHeight="1" s="525">
      <c r="A45" s="442" t="n"/>
      <c r="B45" s="409" t="n"/>
      <c r="C45" s="409" t="n"/>
      <c r="D45" s="409" t="n"/>
      <c r="E45" s="409" t="n"/>
      <c r="F45" s="409" t="n"/>
      <c r="G45" s="409" t="n"/>
      <c r="H45" s="409" t="n"/>
      <c r="I45" s="457" t="n"/>
      <c r="J45" s="409" t="n"/>
      <c r="K45" s="458" t="n"/>
      <c r="L45" s="459" t="n"/>
      <c r="M45" s="456" t="n"/>
      <c r="N45" s="456" t="n"/>
      <c r="O45" s="456" t="n"/>
      <c r="P45" s="64" t="n"/>
      <c r="Q45" s="61">
        <f>IF(B45="","",CONCATENATE("W"))</f>
        <v/>
      </c>
      <c r="R45" s="319" t="n"/>
      <c r="S45" s="61">
        <f>IF(B45="","",CONCATENATE("P1W"))</f>
        <v/>
      </c>
      <c r="T45" s="319" t="n"/>
      <c r="U45" s="319" t="n"/>
    </row>
    <row r="46" ht="16" customFormat="1" customHeight="1" s="525">
      <c r="A46" s="442" t="n"/>
      <c r="B46" s="409" t="n"/>
      <c r="C46" s="409" t="n"/>
      <c r="D46" s="409" t="n"/>
      <c r="E46" s="409" t="n"/>
      <c r="F46" s="409" t="n"/>
      <c r="G46" s="409" t="n"/>
      <c r="H46" s="409" t="n"/>
      <c r="I46" s="457" t="n"/>
      <c r="J46" s="409" t="n"/>
      <c r="K46" s="458" t="n"/>
      <c r="L46" s="459" t="n"/>
      <c r="M46" s="456" t="n"/>
      <c r="N46" s="456" t="n"/>
      <c r="O46" s="456" t="n"/>
      <c r="P46" s="64" t="n"/>
      <c r="Q46" s="61">
        <f>IF(B46="","",CONCATENATE("W"))</f>
        <v/>
      </c>
      <c r="R46" s="319" t="n"/>
      <c r="S46" s="61">
        <f>IF(B46="","",CONCATENATE("P1W"))</f>
        <v/>
      </c>
      <c r="T46" s="319" t="n"/>
      <c r="U46" s="319" t="n"/>
    </row>
    <row r="47" ht="16" customFormat="1" customHeight="1" s="199">
      <c r="A47" s="501" t="inlineStr">
        <is>
          <t>Total</t>
        </is>
      </c>
      <c r="B47" s="491" t="n"/>
      <c r="C47" s="491" t="n"/>
      <c r="D47" s="491" t="n"/>
      <c r="E47" s="491" t="n"/>
      <c r="F47" s="491" t="n"/>
      <c r="G47" s="491" t="n"/>
      <c r="H47" s="491" t="n"/>
      <c r="I47" s="491" t="n"/>
      <c r="J47" s="491" t="n"/>
      <c r="K47" s="491" t="n"/>
      <c r="L47" s="491" t="n"/>
      <c r="M47" s="491" t="n"/>
      <c r="N47" s="491" t="n"/>
      <c r="O47" s="481" t="n"/>
      <c r="P47" s="130">
        <f>SUM(Q45:OFFSET(RentPaid.GrossRentalIncomeW,-1,0))</f>
        <v/>
      </c>
      <c r="Q47" s="184" t="n"/>
      <c r="R47" s="184" t="n"/>
      <c r="S47" s="184" t="n"/>
      <c r="T47" s="184" t="n"/>
      <c r="U47" s="184" t="n"/>
    </row>
    <row r="48" ht="37.5" customFormat="1" customHeight="1" s="199">
      <c r="A48" s="52" t="n"/>
      <c r="B48" s="52" t="n"/>
      <c r="C48" s="52" t="n"/>
      <c r="D48" s="52" t="n"/>
      <c r="E48" s="52" t="n"/>
      <c r="F48" s="52" t="n"/>
      <c r="G48" s="52" t="n"/>
      <c r="H48" s="52" t="n"/>
      <c r="I48" s="52" t="n"/>
      <c r="J48" s="52" t="n"/>
      <c r="K48" s="52" t="n"/>
      <c r="L48" s="52" t="n"/>
      <c r="M48" s="52" t="n"/>
      <c r="N48" s="52" t="n"/>
      <c r="O48" s="52" t="n"/>
      <c r="P48" s="52" t="n"/>
      <c r="Q48" s="185" t="n"/>
      <c r="R48" s="185" t="n"/>
      <c r="S48" s="185" t="n"/>
      <c r="T48" s="185" t="n"/>
      <c r="U48" s="185" t="n"/>
    </row>
    <row r="49" ht="31.5" customFormat="1" customHeight="1" s="537">
      <c r="A49" s="496" t="inlineStr">
        <is>
          <t>Section A Part 5 : Tenant Details (Self)</t>
        </is>
      </c>
      <c r="B49" s="497" t="n"/>
      <c r="C49" s="497" t="n"/>
      <c r="D49" s="497" t="n"/>
      <c r="E49" s="497" t="n"/>
      <c r="F49" s="289" t="n"/>
      <c r="G49" s="289" t="n"/>
      <c r="H49" s="289" t="n"/>
      <c r="I49" s="289" t="n"/>
      <c r="J49" s="289" t="n"/>
      <c r="K49" s="289" t="n"/>
      <c r="L49" s="289" t="n"/>
      <c r="M49" s="289" t="n"/>
      <c r="N49" s="289" t="n"/>
      <c r="O49" s="289" t="n"/>
      <c r="P49" s="290" t="n"/>
      <c r="Q49" s="61" t="n"/>
      <c r="R49" s="61" t="n"/>
      <c r="S49" s="61" t="n"/>
      <c r="T49" s="61" t="n"/>
      <c r="U49" s="61" t="n"/>
    </row>
    <row r="50" ht="21" customFormat="1" customHeight="1" s="200">
      <c r="A50" s="498" t="n"/>
      <c r="B50" s="499" t="n"/>
      <c r="C50" s="500" t="inlineStr">
        <is>
          <t>Physical Full Address</t>
        </is>
      </c>
      <c r="D50" s="502" t="n"/>
      <c r="E50" s="502" t="n"/>
      <c r="F50" s="502" t="n"/>
      <c r="G50" s="502" t="n"/>
      <c r="H50" s="502" t="n"/>
      <c r="I50" s="502" t="n"/>
      <c r="J50" s="499" t="n"/>
      <c r="K50" s="500" t="inlineStr">
        <is>
          <t>Postal Address</t>
        </is>
      </c>
      <c r="L50" s="502" t="n"/>
      <c r="M50" s="499" t="n"/>
      <c r="N50" s="500" t="inlineStr">
        <is>
          <t>Period of Occupancy During the Year</t>
        </is>
      </c>
      <c r="O50" s="499" t="n"/>
      <c r="P50" s="291" t="n"/>
      <c r="Q50" s="293" t="n"/>
      <c r="R50" s="61" t="n"/>
      <c r="S50" s="61" t="n"/>
      <c r="T50" s="61" t="n"/>
      <c r="U50" s="61" t="n"/>
    </row>
    <row r="51" ht="39" customFormat="1" customHeight="1" s="200">
      <c r="A51" s="34" t="inlineStr">
        <is>
          <t>PIN of Tenant (If Available)</t>
        </is>
      </c>
      <c r="B51" s="34" t="inlineStr">
        <is>
          <t>Name of Tenant</t>
        </is>
      </c>
      <c r="C51" s="34" t="inlineStr">
        <is>
          <t>L.R.Number</t>
        </is>
      </c>
      <c r="D51" s="34" t="inlineStr">
        <is>
          <t>Building</t>
        </is>
      </c>
      <c r="E51" s="34" t="inlineStr">
        <is>
          <t>Street/Road</t>
        </is>
      </c>
      <c r="F51" s="34" t="inlineStr">
        <is>
          <t>City/Town</t>
        </is>
      </c>
      <c r="G51" s="34" t="inlineStr">
        <is>
          <t>County</t>
        </is>
      </c>
      <c r="H51" s="34" t="inlineStr">
        <is>
          <t>District</t>
        </is>
      </c>
      <c r="I51" s="34" t="inlineStr">
        <is>
          <t>Tax Area / Locality</t>
        </is>
      </c>
      <c r="J51" s="34" t="inlineStr">
        <is>
          <t>Descriptive Address</t>
        </is>
      </c>
      <c r="K51" s="34" t="inlineStr">
        <is>
          <t>P.O.Box</t>
        </is>
      </c>
      <c r="L51" s="34" t="inlineStr">
        <is>
          <t>Post Office Name</t>
        </is>
      </c>
      <c r="M51" s="34" t="inlineStr">
        <is>
          <t>Postal Code</t>
        </is>
      </c>
      <c r="N51" s="34" t="inlineStr">
        <is>
          <t>Date From</t>
        </is>
      </c>
      <c r="O51" s="34" t="inlineStr">
        <is>
          <t>Date To</t>
        </is>
      </c>
      <c r="P51" s="34" t="inlineStr">
        <is>
          <t>Amount of Gross Rental Income (Ksh)</t>
        </is>
      </c>
      <c r="Q51" s="61" t="inlineStr">
        <is>
          <t>strSpouseCode</t>
        </is>
      </c>
      <c r="R51" s="61" t="n"/>
      <c r="S51" s="61" t="inlineStr">
        <is>
          <t>Rent Code</t>
        </is>
      </c>
      <c r="T51" s="61" t="n"/>
      <c r="U51" s="61" t="n"/>
    </row>
    <row r="52" ht="16" customFormat="1" customHeight="1" s="525">
      <c r="A52" s="30" t="n"/>
      <c r="B52" s="28" t="n"/>
      <c r="C52" s="28" t="n"/>
      <c r="D52" s="28" t="n"/>
      <c r="E52" s="28" t="n"/>
      <c r="F52" s="28" t="n"/>
      <c r="G52" s="28" t="n"/>
      <c r="H52" s="53" t="n"/>
      <c r="I52" s="197" t="n"/>
      <c r="J52" s="28" t="n"/>
      <c r="K52" s="89" t="n"/>
      <c r="L52" s="284" t="n"/>
      <c r="M52" s="356" t="n"/>
      <c r="N52" s="278" t="n"/>
      <c r="O52" s="278" t="n"/>
      <c r="P52" s="31" t="n"/>
      <c r="Q52" s="61">
        <f>IF(B52="","",CONCATENATE("H"))</f>
        <v/>
      </c>
      <c r="R52" s="61" t="n"/>
      <c r="S52" s="61">
        <f>IF(B52="","",CONCATENATE("S3H"))</f>
        <v/>
      </c>
      <c r="T52" s="61" t="n"/>
      <c r="U52" s="61" t="n"/>
    </row>
    <row r="53" ht="16" customFormat="1" customHeight="1" s="525">
      <c r="A53" s="30" t="n"/>
      <c r="B53" s="28" t="n"/>
      <c r="C53" s="28" t="n"/>
      <c r="D53" s="28" t="n"/>
      <c r="E53" s="28" t="n"/>
      <c r="F53" s="28" t="n"/>
      <c r="G53" s="28" t="n"/>
      <c r="H53" s="53" t="n"/>
      <c r="I53" s="197" t="n"/>
      <c r="J53" s="28" t="n"/>
      <c r="K53" s="89" t="n"/>
      <c r="L53" s="284" t="n"/>
      <c r="M53" s="356" t="n"/>
      <c r="N53" s="278" t="n"/>
      <c r="O53" s="278" t="n"/>
      <c r="P53" s="31" t="n"/>
      <c r="Q53" s="61">
        <f>IF(B53="","",CONCATENATE("H"))</f>
        <v/>
      </c>
      <c r="R53" s="61" t="n"/>
      <c r="S53" s="61">
        <f>IF(B53="","",CONCATENATE("S3H"))</f>
        <v/>
      </c>
      <c r="T53" s="61" t="n"/>
      <c r="U53" s="61" t="n"/>
    </row>
    <row r="54" ht="16.5" customFormat="1" customHeight="1" s="525">
      <c r="A54" s="507" t="inlineStr">
        <is>
          <t>Total</t>
        </is>
      </c>
      <c r="B54" s="474" t="n"/>
      <c r="C54" s="474" t="n"/>
      <c r="D54" s="474" t="n"/>
      <c r="E54" s="474" t="n"/>
      <c r="F54" s="474" t="n"/>
      <c r="G54" s="474" t="n"/>
      <c r="H54" s="474" t="n"/>
      <c r="I54" s="474" t="n"/>
      <c r="J54" s="474" t="n"/>
      <c r="K54" s="474" t="n"/>
      <c r="L54" s="474" t="n"/>
      <c r="M54" s="474" t="n"/>
      <c r="N54" s="474" t="n"/>
      <c r="O54" s="475" t="n"/>
      <c r="P54" s="90">
        <f>SUM(Q52:OFFSET(RentalIncome.ListSTO,-1,0))</f>
        <v/>
      </c>
      <c r="Q54" s="61" t="n"/>
      <c r="R54" s="61" t="n"/>
      <c r="S54" s="61" t="n"/>
      <c r="T54" s="61" t="n"/>
      <c r="U54" s="61" t="n"/>
    </row>
    <row r="55" ht="37.5" customFormat="1" customHeight="1" s="525">
      <c r="A55" s="66" t="n"/>
      <c r="B55" s="66" t="n"/>
      <c r="C55" s="66" t="n"/>
      <c r="D55" s="66" t="n"/>
      <c r="E55" s="66" t="n"/>
      <c r="F55" s="66" t="n"/>
      <c r="G55" s="66" t="n"/>
      <c r="H55" s="66" t="n"/>
      <c r="I55" s="66" t="n"/>
      <c r="J55" s="66" t="n"/>
      <c r="K55" s="66" t="n"/>
      <c r="L55" s="66" t="n"/>
      <c r="M55" s="66" t="n"/>
      <c r="N55" s="66" t="n"/>
      <c r="O55" s="66" t="n"/>
      <c r="P55" s="66" t="n"/>
      <c r="Q55" s="61" t="n"/>
      <c r="R55" s="61" t="n"/>
      <c r="S55" s="61" t="n"/>
      <c r="T55" s="61" t="n"/>
      <c r="U55" s="61" t="n"/>
    </row>
    <row r="56" ht="15.75" customFormat="1" customHeight="1" s="525">
      <c r="A56" s="66" t="n"/>
      <c r="B56" s="66" t="n"/>
      <c r="C56" s="66" t="n"/>
      <c r="D56" s="66" t="n"/>
      <c r="E56" s="66" t="n"/>
      <c r="F56" s="66" t="n"/>
      <c r="G56" s="66" t="n"/>
      <c r="H56" s="66" t="n"/>
      <c r="I56" s="66" t="n"/>
      <c r="J56" s="66" t="n"/>
      <c r="K56" s="66" t="n"/>
      <c r="L56" s="66" t="n"/>
      <c r="M56" s="66" t="n"/>
      <c r="N56" s="66" t="n"/>
      <c r="O56" s="66" t="n"/>
      <c r="P56" s="66" t="n"/>
      <c r="Q56" s="61" t="n"/>
      <c r="R56" s="61" t="n"/>
      <c r="S56" s="61" t="n"/>
      <c r="T56" s="61" t="n"/>
      <c r="U56" s="61" t="n"/>
    </row>
    <row r="57" ht="15.75" customFormat="1" customHeight="1" s="525">
      <c r="A57" s="66" t="n"/>
      <c r="B57" s="66" t="n"/>
      <c r="C57" s="66" t="n"/>
      <c r="D57" s="66" t="n"/>
      <c r="E57" s="66" t="n"/>
      <c r="F57" s="66" t="n"/>
      <c r="G57" s="66" t="n"/>
      <c r="H57" s="66" t="n"/>
      <c r="I57" s="66" t="n"/>
      <c r="J57" s="66" t="n"/>
      <c r="K57" s="66" t="n"/>
      <c r="L57" s="66" t="n"/>
      <c r="M57" s="66" t="n"/>
      <c r="N57" s="66" t="n"/>
      <c r="O57" s="66" t="n"/>
      <c r="P57" s="66" t="n"/>
      <c r="Q57" s="61" t="n"/>
      <c r="R57" s="61" t="n"/>
      <c r="S57" s="61" t="n"/>
      <c r="T57" s="61" t="n"/>
      <c r="U57" s="61" t="n"/>
    </row>
    <row r="58" ht="31.5" customFormat="1" customHeight="1" s="537">
      <c r="A58" s="496" t="inlineStr">
        <is>
          <t>Section A Part 5 : Tenant Details (Wife)</t>
        </is>
      </c>
      <c r="B58" s="497" t="n"/>
      <c r="C58" s="497" t="n"/>
      <c r="D58" s="497" t="n"/>
      <c r="E58" s="497" t="n"/>
      <c r="F58" s="289" t="n"/>
      <c r="G58" s="289" t="n"/>
      <c r="H58" s="289" t="n"/>
      <c r="I58" s="289" t="n"/>
      <c r="J58" s="289" t="n"/>
      <c r="K58" s="289" t="n"/>
      <c r="L58" s="289" t="n"/>
      <c r="M58" s="289" t="n"/>
      <c r="N58" s="289" t="n"/>
      <c r="O58" s="289" t="n"/>
      <c r="P58" s="290" t="n"/>
      <c r="Q58" s="61" t="n"/>
      <c r="R58" s="61" t="n"/>
      <c r="S58" s="61" t="n"/>
      <c r="T58" s="61" t="n"/>
      <c r="U58" s="61" t="n"/>
    </row>
    <row r="59" ht="21" customFormat="1" customHeight="1" s="200">
      <c r="A59" s="498" t="n"/>
      <c r="B59" s="499" t="n"/>
      <c r="C59" s="500" t="inlineStr">
        <is>
          <t>Physical Full Address</t>
        </is>
      </c>
      <c r="D59" s="502" t="n"/>
      <c r="E59" s="502" t="n"/>
      <c r="F59" s="502" t="n"/>
      <c r="G59" s="502" t="n"/>
      <c r="H59" s="502" t="n"/>
      <c r="I59" s="502" t="n"/>
      <c r="J59" s="499" t="n"/>
      <c r="K59" s="500" t="inlineStr">
        <is>
          <t>Postal Address</t>
        </is>
      </c>
      <c r="L59" s="502" t="n"/>
      <c r="M59" s="499" t="n"/>
      <c r="N59" s="500" t="inlineStr">
        <is>
          <t>Period of Occupancy During the Year</t>
        </is>
      </c>
      <c r="O59" s="499" t="n"/>
      <c r="P59" s="291" t="n"/>
      <c r="Q59" s="293" t="n"/>
      <c r="R59" s="61" t="n"/>
      <c r="S59" s="61" t="n"/>
      <c r="T59" s="61" t="n"/>
      <c r="U59" s="61" t="n"/>
    </row>
    <row r="60" ht="38.25" customFormat="1" customHeight="1" s="200">
      <c r="A60" s="34" t="inlineStr">
        <is>
          <t>PIN of Tenant (If Available)</t>
        </is>
      </c>
      <c r="B60" s="34" t="inlineStr">
        <is>
          <t>Name of Tenant</t>
        </is>
      </c>
      <c r="C60" s="34" t="inlineStr">
        <is>
          <t>L.R.Number</t>
        </is>
      </c>
      <c r="D60" s="34" t="inlineStr">
        <is>
          <t>Building</t>
        </is>
      </c>
      <c r="E60" s="34" t="inlineStr">
        <is>
          <t>Street/Road</t>
        </is>
      </c>
      <c r="F60" s="34" t="inlineStr">
        <is>
          <t>City/Town</t>
        </is>
      </c>
      <c r="G60" s="34" t="inlineStr">
        <is>
          <t>County</t>
        </is>
      </c>
      <c r="H60" s="34" t="inlineStr">
        <is>
          <t>District</t>
        </is>
      </c>
      <c r="I60" s="34" t="inlineStr">
        <is>
          <t>Tax Area / Locality</t>
        </is>
      </c>
      <c r="J60" s="34" t="inlineStr">
        <is>
          <t>Descriptive Address</t>
        </is>
      </c>
      <c r="K60" s="34" t="inlineStr">
        <is>
          <t>P.O.Box</t>
        </is>
      </c>
      <c r="L60" s="34" t="inlineStr">
        <is>
          <t>Post Office Name</t>
        </is>
      </c>
      <c r="M60" s="34" t="inlineStr">
        <is>
          <t>Postal Code</t>
        </is>
      </c>
      <c r="N60" s="34" t="inlineStr">
        <is>
          <t>Date From</t>
        </is>
      </c>
      <c r="O60" s="34" t="inlineStr">
        <is>
          <t>Date To</t>
        </is>
      </c>
      <c r="P60" s="34" t="inlineStr">
        <is>
          <t>Amount of Gross Rental Income (Ksh)</t>
        </is>
      </c>
      <c r="Q60" s="61" t="inlineStr">
        <is>
          <t>strSpouseCode</t>
        </is>
      </c>
      <c r="R60" s="61" t="n"/>
      <c r="S60" s="61" t="inlineStr">
        <is>
          <t>Rent Code</t>
        </is>
      </c>
      <c r="T60" s="61" t="n"/>
      <c r="U60" s="61" t="n"/>
    </row>
    <row r="61" ht="16" customFormat="1" customHeight="1" s="525">
      <c r="A61" s="587" t="n"/>
      <c r="B61" s="460" t="n"/>
      <c r="C61" s="460" t="n"/>
      <c r="D61" s="460" t="n"/>
      <c r="E61" s="460" t="n"/>
      <c r="F61" s="460" t="n"/>
      <c r="G61" s="460" t="n"/>
      <c r="H61" s="409" t="n"/>
      <c r="I61" s="457" t="n"/>
      <c r="J61" s="460" t="n"/>
      <c r="K61" s="461" t="n"/>
      <c r="L61" s="462" t="n"/>
      <c r="M61" s="456" t="n"/>
      <c r="N61" s="588" t="n"/>
      <c r="O61" s="588" t="n"/>
      <c r="P61" s="22" t="n"/>
      <c r="Q61" s="327">
        <f>IF(B61="","",CONCATENATE("W"))</f>
        <v/>
      </c>
      <c r="R61" s="319" t="n"/>
      <c r="S61" s="61">
        <f>IF(B61="","",CONCATENATE("S3W"))</f>
        <v/>
      </c>
      <c r="T61" s="319" t="n"/>
      <c r="U61" s="319" t="n"/>
    </row>
    <row r="62" ht="16" customFormat="1" customHeight="1" s="525">
      <c r="A62" s="587" t="n"/>
      <c r="B62" s="460" t="n"/>
      <c r="C62" s="460" t="n"/>
      <c r="D62" s="460" t="n"/>
      <c r="E62" s="460" t="n"/>
      <c r="F62" s="460" t="n"/>
      <c r="G62" s="460" t="n"/>
      <c r="H62" s="409" t="n"/>
      <c r="I62" s="457" t="n"/>
      <c r="J62" s="460" t="n"/>
      <c r="K62" s="461" t="n"/>
      <c r="L62" s="462" t="n"/>
      <c r="M62" s="456" t="n"/>
      <c r="N62" s="588" t="n"/>
      <c r="O62" s="588" t="n"/>
      <c r="P62" s="22" t="n"/>
      <c r="Q62" s="61">
        <f>IF(B62="","",CONCATENATE("W"))</f>
        <v/>
      </c>
      <c r="R62" s="319" t="n"/>
      <c r="S62" s="61">
        <f>IF(B62="","",CONCATENATE("S3W"))</f>
        <v/>
      </c>
      <c r="T62" s="319" t="n"/>
      <c r="U62" s="319" t="n"/>
    </row>
    <row r="63" ht="16.5" customFormat="1" customHeight="1" s="525">
      <c r="A63" s="507" t="inlineStr">
        <is>
          <t>Total</t>
        </is>
      </c>
      <c r="B63" s="474" t="n"/>
      <c r="C63" s="474" t="n"/>
      <c r="D63" s="474" t="n"/>
      <c r="E63" s="474" t="n"/>
      <c r="F63" s="474" t="n"/>
      <c r="G63" s="474" t="n"/>
      <c r="H63" s="474" t="n"/>
      <c r="I63" s="474" t="n"/>
      <c r="J63" s="474" t="n"/>
      <c r="K63" s="474" t="n"/>
      <c r="L63" s="474" t="n"/>
      <c r="M63" s="474" t="n"/>
      <c r="N63" s="474" t="n"/>
      <c r="O63" s="475" t="n"/>
      <c r="P63" s="90">
        <f>SUM(Q61:OFFSET(RentalIncome.ListWTO,-1,0))</f>
        <v/>
      </c>
      <c r="Q63" s="61" t="n"/>
      <c r="R63" s="61" t="n"/>
      <c r="S63" s="61" t="n"/>
      <c r="T63" s="61" t="n"/>
      <c r="U63" s="61" t="n"/>
      <c r="AK63" s="201" t="n">
        <v>1</v>
      </c>
    </row>
    <row r="64" ht="37.5" customFormat="1" customHeight="1" s="525">
      <c r="A64" s="66" t="n"/>
      <c r="B64" s="66" t="n"/>
      <c r="C64" s="66" t="n"/>
      <c r="D64" s="327" t="n"/>
      <c r="E64" s="327" t="n"/>
      <c r="F64" s="327" t="n"/>
      <c r="G64" s="327" t="n"/>
      <c r="H64" s="327" t="n"/>
      <c r="I64" s="327" t="n"/>
      <c r="J64" s="327" t="n"/>
      <c r="K64" s="327" t="n"/>
      <c r="L64" s="327" t="n"/>
      <c r="M64" s="327" t="n"/>
      <c r="N64" s="327" t="n"/>
      <c r="O64" s="327" t="n"/>
      <c r="P64" s="327" t="n"/>
      <c r="Q64" s="327" t="n"/>
      <c r="R64" s="61" t="n"/>
      <c r="S64" s="61" t="n"/>
      <c r="T64" s="61" t="n"/>
      <c r="U64" s="61" t="n"/>
      <c r="AK64" s="201" t="n"/>
    </row>
    <row r="65" ht="37.5" customFormat="1" customHeight="1" s="525">
      <c r="A65" s="66" t="n"/>
      <c r="B65" s="66" t="n"/>
      <c r="C65" s="66" t="n"/>
      <c r="D65" s="327" t="n"/>
      <c r="E65" s="327" t="n"/>
      <c r="F65" s="327" t="n"/>
      <c r="G65" s="327" t="n"/>
      <c r="H65" s="327" t="n"/>
      <c r="I65" s="327" t="n"/>
      <c r="J65" s="327" t="n"/>
      <c r="K65" s="327" t="n"/>
      <c r="L65" s="327" t="n"/>
      <c r="M65" s="327" t="n"/>
      <c r="N65" s="327" t="n"/>
      <c r="O65" s="327" t="n"/>
      <c r="P65" s="327" t="n"/>
      <c r="Q65" s="327" t="n"/>
      <c r="R65" s="61" t="n"/>
      <c r="S65" s="61" t="n"/>
      <c r="T65" s="61" t="n"/>
      <c r="U65" s="61" t="n"/>
      <c r="AK65" s="201" t="n"/>
    </row>
    <row r="66" ht="31.5" customFormat="1" customHeight="1" s="423">
      <c r="A66" s="504" t="inlineStr">
        <is>
          <t>Section A Part 6 : Details of Exemption Certificate for disablity (Self)</t>
        </is>
      </c>
      <c r="B66" s="491" t="n"/>
      <c r="C66" s="481" t="n"/>
      <c r="D66" s="310" t="n"/>
      <c r="E66" s="310" t="n"/>
      <c r="F66" s="310" t="n"/>
      <c r="G66" s="310" t="n"/>
      <c r="H66" s="310" t="n"/>
      <c r="I66" s="310" t="n"/>
      <c r="J66" s="310" t="n"/>
      <c r="K66" s="310" t="n"/>
      <c r="L66" s="310" t="n"/>
      <c r="M66" s="310" t="n"/>
      <c r="N66" s="310" t="n"/>
      <c r="O66" s="310" t="n"/>
      <c r="P66" s="310" t="n"/>
      <c r="Q66" s="310" t="n"/>
      <c r="R66" s="402" t="n"/>
      <c r="S66" s="402" t="n"/>
      <c r="T66" s="402" t="n"/>
      <c r="U66" s="402" t="n"/>
      <c r="Y66" s="423" t="inlineStr">
        <is>
          <t>Section AE : Details of Auditor</t>
        </is>
      </c>
      <c r="AC66" s="423" t="inlineStr">
        <is>
          <t>Section AE : Details of Auditor</t>
        </is>
      </c>
      <c r="AG66" s="423" t="inlineStr">
        <is>
          <t>Section AE : Details of Auditor</t>
        </is>
      </c>
      <c r="AK66" s="423" t="inlineStr">
        <is>
          <t>Section AE : Details of Auditor</t>
        </is>
      </c>
      <c r="AO66" s="423" t="inlineStr">
        <is>
          <t>Section AE : Details of Auditor</t>
        </is>
      </c>
      <c r="AS66" s="423" t="inlineStr">
        <is>
          <t>Section AE : Details of Auditor</t>
        </is>
      </c>
      <c r="AW66" s="423" t="inlineStr">
        <is>
          <t>Section AE : Details of Auditor</t>
        </is>
      </c>
      <c r="BA66" s="423" t="inlineStr">
        <is>
          <t>Section AE : Details of Auditor</t>
        </is>
      </c>
      <c r="BE66" s="423" t="inlineStr">
        <is>
          <t>Section AE : Details of Auditor</t>
        </is>
      </c>
      <c r="BI66" s="423" t="inlineStr">
        <is>
          <t>Section AE : Details of Auditor</t>
        </is>
      </c>
      <c r="BM66" s="423" t="inlineStr">
        <is>
          <t>Section AE : Details of Auditor</t>
        </is>
      </c>
      <c r="BQ66" s="423" t="inlineStr">
        <is>
          <t>Section AE : Details of Auditor</t>
        </is>
      </c>
      <c r="BU66" s="423" t="inlineStr">
        <is>
          <t>Section AE : Details of Auditor</t>
        </is>
      </c>
      <c r="BY66" s="423" t="inlineStr">
        <is>
          <t>Section AE : Details of Auditor</t>
        </is>
      </c>
      <c r="CC66" s="423" t="inlineStr">
        <is>
          <t>Section AE : Details of Auditor</t>
        </is>
      </c>
      <c r="CG66" s="423" t="inlineStr">
        <is>
          <t>Section AE : Details of Auditor</t>
        </is>
      </c>
      <c r="CK66" s="423" t="inlineStr">
        <is>
          <t>Section AE : Details of Auditor</t>
        </is>
      </c>
      <c r="CO66" s="423" t="inlineStr">
        <is>
          <t>Section AE : Details of Auditor</t>
        </is>
      </c>
      <c r="CS66" s="423" t="inlineStr">
        <is>
          <t>Section AE : Details of Auditor</t>
        </is>
      </c>
      <c r="CW66" s="423" t="inlineStr">
        <is>
          <t>Section AE : Details of Auditor</t>
        </is>
      </c>
      <c r="DA66" s="423" t="inlineStr">
        <is>
          <t>Section AE : Details of Auditor</t>
        </is>
      </c>
      <c r="DE66" s="423" t="inlineStr">
        <is>
          <t>Section AE : Details of Auditor</t>
        </is>
      </c>
      <c r="DI66" s="423" t="inlineStr">
        <is>
          <t>Section AE : Details of Auditor</t>
        </is>
      </c>
      <c r="DM66" s="423" t="inlineStr">
        <is>
          <t>Section AE : Details of Auditor</t>
        </is>
      </c>
      <c r="DQ66" s="423" t="inlineStr">
        <is>
          <t>Section AE : Details of Auditor</t>
        </is>
      </c>
      <c r="DU66" s="423" t="inlineStr">
        <is>
          <t>Section AE : Details of Auditor</t>
        </is>
      </c>
      <c r="DY66" s="423" t="inlineStr">
        <is>
          <t>Section AE : Details of Auditor</t>
        </is>
      </c>
      <c r="EC66" s="423" t="inlineStr">
        <is>
          <t>Section AE : Details of Auditor</t>
        </is>
      </c>
      <c r="EG66" s="423" t="inlineStr">
        <is>
          <t>Section AE : Details of Auditor</t>
        </is>
      </c>
      <c r="EK66" s="423" t="inlineStr">
        <is>
          <t>Section AE : Details of Auditor</t>
        </is>
      </c>
      <c r="EO66" s="423" t="inlineStr">
        <is>
          <t>Section AE : Details of Auditor</t>
        </is>
      </c>
      <c r="ES66" s="423" t="inlineStr">
        <is>
          <t>Section AE : Details of Auditor</t>
        </is>
      </c>
      <c r="EW66" s="423" t="inlineStr">
        <is>
          <t>Section AE : Details of Auditor</t>
        </is>
      </c>
      <c r="FA66" s="423" t="inlineStr">
        <is>
          <t>Section AE : Details of Auditor</t>
        </is>
      </c>
      <c r="FE66" s="423" t="inlineStr">
        <is>
          <t>Section AE : Details of Auditor</t>
        </is>
      </c>
      <c r="FI66" s="423" t="inlineStr">
        <is>
          <t>Section AE : Details of Auditor</t>
        </is>
      </c>
      <c r="FM66" s="423" t="inlineStr">
        <is>
          <t>Section AE : Details of Auditor</t>
        </is>
      </c>
      <c r="FQ66" s="423" t="inlineStr">
        <is>
          <t>Section AE : Details of Auditor</t>
        </is>
      </c>
      <c r="FU66" s="423" t="inlineStr">
        <is>
          <t>Section AE : Details of Auditor</t>
        </is>
      </c>
      <c r="FY66" s="423" t="inlineStr">
        <is>
          <t>Section AE : Details of Auditor</t>
        </is>
      </c>
      <c r="GC66" s="423" t="inlineStr">
        <is>
          <t>Section AE : Details of Auditor</t>
        </is>
      </c>
      <c r="GG66" s="423" t="inlineStr">
        <is>
          <t>Section AE : Details of Auditor</t>
        </is>
      </c>
      <c r="GK66" s="423" t="inlineStr">
        <is>
          <t>Section AE : Details of Auditor</t>
        </is>
      </c>
      <c r="GO66" s="423" t="inlineStr">
        <is>
          <t>Section AE : Details of Auditor</t>
        </is>
      </c>
      <c r="GS66" s="423" t="inlineStr">
        <is>
          <t>Section AE : Details of Auditor</t>
        </is>
      </c>
      <c r="GW66" s="423" t="inlineStr">
        <is>
          <t>Section AE : Details of Auditor</t>
        </is>
      </c>
      <c r="HA66" s="423" t="inlineStr">
        <is>
          <t>Section AE : Details of Auditor</t>
        </is>
      </c>
      <c r="HE66" s="423" t="inlineStr">
        <is>
          <t>Section AE : Details of Auditor</t>
        </is>
      </c>
      <c r="HI66" s="423" t="inlineStr">
        <is>
          <t>Section AE : Details of Auditor</t>
        </is>
      </c>
      <c r="HM66" s="423" t="inlineStr">
        <is>
          <t>Section AE : Details of Auditor</t>
        </is>
      </c>
      <c r="HQ66" s="423" t="inlineStr">
        <is>
          <t>Section AE : Details of Auditor</t>
        </is>
      </c>
      <c r="HU66" s="423" t="inlineStr">
        <is>
          <t>Section AE : Details of Auditor</t>
        </is>
      </c>
      <c r="HY66" s="423" t="inlineStr">
        <is>
          <t>Section AE : Details of Auditor</t>
        </is>
      </c>
      <c r="IC66" s="423" t="inlineStr">
        <is>
          <t>Section AE : Details of Auditor</t>
        </is>
      </c>
      <c r="IG66" s="423" t="inlineStr">
        <is>
          <t>Section AE : Details of Auditor</t>
        </is>
      </c>
      <c r="IK66" s="423" t="inlineStr">
        <is>
          <t>Section AE : Details of Auditor</t>
        </is>
      </c>
      <c r="IO66" s="423" t="inlineStr">
        <is>
          <t>Section AE : Details of Auditor</t>
        </is>
      </c>
      <c r="IS66" s="423" t="inlineStr">
        <is>
          <t>Section AE : Details of Auditor</t>
        </is>
      </c>
    </row>
    <row r="67" ht="17" customFormat="1" customHeight="1" s="423">
      <c r="A67" s="34" t="inlineStr">
        <is>
          <t>Exemption Certificate Number</t>
        </is>
      </c>
      <c r="B67" s="34" t="inlineStr">
        <is>
          <t>Date From</t>
        </is>
      </c>
      <c r="C67" s="34" t="inlineStr">
        <is>
          <t>Date To</t>
        </is>
      </c>
      <c r="D67" s="310" t="inlineStr">
        <is>
          <t>spouseCode</t>
        </is>
      </c>
      <c r="E67" s="310" t="n"/>
      <c r="F67" s="310" t="n"/>
      <c r="G67" s="310" t="inlineStr">
        <is>
          <t>SpouseCode</t>
        </is>
      </c>
      <c r="H67" s="310" t="n"/>
      <c r="I67" s="310" t="n"/>
      <c r="J67" s="310" t="n"/>
      <c r="K67" s="310" t="n"/>
      <c r="L67" s="310" t="n"/>
      <c r="M67" s="310" t="n"/>
      <c r="N67" s="310" t="n"/>
      <c r="O67" s="310" t="n"/>
      <c r="P67" s="310" t="n"/>
      <c r="Q67" s="310" t="n"/>
      <c r="R67" s="402" t="n"/>
      <c r="S67" s="402" t="n"/>
      <c r="T67" s="402" t="n"/>
      <c r="U67" s="402" t="n"/>
    </row>
    <row r="68" ht="17" customFormat="1" customHeight="1" s="423">
      <c r="A68" s="587" t="n"/>
      <c r="B68" s="587" t="n"/>
      <c r="C68" s="587" t="n"/>
      <c r="D68" s="310">
        <f>IF(A68="","",CONCATENATE("H"))</f>
        <v/>
      </c>
      <c r="E68" s="310">
        <f>IF(C68="","",VALUE(MID(C68,4,2)))</f>
        <v/>
      </c>
      <c r="F68" s="310">
        <f>IF(B68="","",VALUE(MID(B68,4,2)))</f>
        <v/>
      </c>
      <c r="G68" s="310">
        <f>IF(E68="","",IF(F68="","", IF(E68-F68+1&lt;0, 0, E68-F68+1)))</f>
        <v/>
      </c>
      <c r="H68" s="310" t="n"/>
      <c r="I68" s="310" t="n"/>
      <c r="J68" s="310" t="n"/>
      <c r="K68" s="310" t="n"/>
      <c r="L68" s="310" t="n"/>
      <c r="M68" s="310" t="n"/>
      <c r="N68" s="310" t="n"/>
      <c r="O68" s="310" t="n"/>
      <c r="P68" s="310" t="n"/>
      <c r="Q68" s="310" t="n"/>
      <c r="R68" s="402" t="n"/>
      <c r="S68" s="402" t="n"/>
      <c r="T68" s="402" t="n"/>
      <c r="U68" s="402" t="n"/>
    </row>
    <row r="69" ht="17" customFormat="1" customHeight="1" s="423">
      <c r="A69" s="587" t="n"/>
      <c r="B69" s="587" t="n"/>
      <c r="C69" s="587" t="n"/>
      <c r="D69" s="310">
        <f>IF(A69="","",CONCATENATE("H"))</f>
        <v/>
      </c>
      <c r="E69" s="310">
        <f>IF(C69="","",VALUE(MID(C69,4,2)))</f>
        <v/>
      </c>
      <c r="F69" s="310">
        <f>IF(B69="","",VALUE(MID(B69,4,2)))</f>
        <v/>
      </c>
      <c r="G69" s="310">
        <f>IF(E69="","",IF(F69="","", IF(E69-F69+1&lt;0, 0, E69-F69+1)))</f>
        <v/>
      </c>
      <c r="H69" s="310" t="n"/>
      <c r="I69" s="310" t="n"/>
      <c r="J69" s="310" t="n"/>
      <c r="K69" s="310" t="n"/>
      <c r="L69" s="310" t="n"/>
      <c r="M69" s="310" t="n"/>
      <c r="N69" s="310" t="n"/>
      <c r="O69" s="310" t="n"/>
      <c r="P69" s="310" t="n"/>
      <c r="Q69" s="310" t="n"/>
      <c r="R69" s="402" t="n"/>
      <c r="S69" s="402" t="n"/>
      <c r="T69" s="402" t="n"/>
      <c r="U69" s="402" t="n"/>
    </row>
    <row r="70" ht="37.5" customFormat="1" customHeight="1" s="425">
      <c r="A70" s="66" t="n"/>
      <c r="B70" s="66" t="n"/>
      <c r="C70" s="327" t="n"/>
      <c r="D70" s="428" t="n"/>
      <c r="E70" s="327">
        <f>MAX(E68:OFFSET(exempt.MonthCodeSMax,-1,0))</f>
        <v/>
      </c>
      <c r="F70" s="327">
        <f>MIN(F68:OFFSET(exempt.MonthCodeSMin,-1,0))</f>
        <v/>
      </c>
      <c r="G70" s="327">
        <f>IF(SUM(G68:OFFSET(exempt.MonthCodeS,-1,0))&gt;12,0,SUM(G68:OFFSET(exempt.MonthCodeS,-1,0)))</f>
        <v/>
      </c>
      <c r="H70" s="327" t="n"/>
      <c r="I70" s="327" t="n"/>
      <c r="J70" s="327" t="n"/>
      <c r="K70" s="327" t="n"/>
      <c r="L70" s="327" t="n"/>
      <c r="M70" s="327" t="n"/>
      <c r="N70" s="327" t="n"/>
      <c r="O70" s="327" t="n"/>
      <c r="P70" s="327" t="n"/>
      <c r="Q70" s="327" t="n"/>
      <c r="R70" s="424" t="n"/>
      <c r="S70" s="424" t="n"/>
      <c r="T70" s="424" t="n"/>
      <c r="U70" s="424" t="n"/>
      <c r="AK70" s="426" t="n"/>
    </row>
    <row r="71" ht="37.5" customFormat="1" customHeight="1" s="425">
      <c r="A71" s="66" t="n"/>
      <c r="B71" s="66" t="n"/>
      <c r="C71" s="66" t="n"/>
      <c r="D71" s="327" t="n"/>
      <c r="E71" s="327" t="n"/>
      <c r="F71" s="327" t="n"/>
      <c r="G71" s="327">
        <f>IF(exempt.MonthCodeSMin&gt;12,0, IF(exempt.MonthCodeSMin=0,0, IF((3-exempt.MonthCodeSMin)+1&lt;0,0, IF(AND(exempt.MonthCodeSMin&lt;=3,exempt.MonthCodeSMax&lt;=3),exempt.MonthCodeSMax, (3-exempt.MonthCodeSMin)+1))))</f>
        <v/>
      </c>
      <c r="H71" s="327">
        <f>IF(exempt.MonthCodeSMax&gt;12,0, IF(exempt.MonthCodeSMax=0,0,  IF(exempt.MonthCodeSJanMar&gt;0,IF((exempt.MonthCodeSMax-3)&lt;0,0,(exempt.MonthCodeSMax-3)),  IF(exempt.MonthCodeSJanMar=0,IF((exempt.MonthCodeSMax-exempt.MonthCodeSMin)+1&lt;0,0,(exempt.MonthCodeSMax-exempt.MonthCodeSMin)+1),0)    )))</f>
        <v/>
      </c>
      <c r="I71" s="327" t="n"/>
      <c r="J71" s="327" t="n"/>
      <c r="K71" s="327" t="n"/>
      <c r="L71" s="327" t="n"/>
      <c r="M71" s="327" t="n"/>
      <c r="N71" s="327" t="n"/>
      <c r="O71" s="327" t="n"/>
      <c r="P71" s="327" t="n"/>
      <c r="Q71" s="327" t="n"/>
      <c r="R71" s="424" t="n"/>
      <c r="S71" s="424" t="n"/>
      <c r="T71" s="424" t="n"/>
      <c r="U71" s="424" t="n"/>
      <c r="AK71" s="426" t="n"/>
    </row>
    <row r="72" ht="31.5" customFormat="1" customHeight="1" s="423">
      <c r="A72" s="504" t="inlineStr">
        <is>
          <t>Section A Part 6 : Details of Exemption Certificate for disablity (Wife)</t>
        </is>
      </c>
      <c r="B72" s="491" t="n"/>
      <c r="C72" s="481" t="n"/>
      <c r="D72" s="310" t="n"/>
      <c r="E72" s="310" t="n"/>
      <c r="F72" s="310" t="n"/>
      <c r="G72" s="310">
        <f>IF(exempt.MonthCodeSMin&gt;12,0, IF(exempt.MonthCodeSMin=0,0, IF((6-exempt.MonthCodeSMin)+1&lt;0,0, IF(AND(exempt.MonthCodeSMin&lt;=6,exempt.MonthCodeSMax&lt;=6),exempt.MonthCodeSMax, (6-exempt.MonthCodeSMin)+1))))</f>
        <v/>
      </c>
      <c r="H72" s="310">
        <f>IF(exempt.MonthCodeSMax&gt;12,0, IF(exempt.MonthCodeSMax=0,0,  IF(exempt.MonthCodeSJanMar&gt;0,IF((exempt.MonthCodeSMax-6)&lt;0,0,(exempt.MonthCodeSMax-6)),  IF(exempt.MonthCodeSJanMar=0,IF((exempt.MonthCodeSMax-exempt.MonthCodeSMin)+1&lt;0,0,(exempt.MonthCodeSMax-exempt.MonthCodeSMin)+1),0)    )))</f>
        <v/>
      </c>
      <c r="I72" s="310" t="n"/>
      <c r="J72" s="310" t="n"/>
      <c r="K72" s="310" t="n"/>
      <c r="L72" s="310" t="n"/>
      <c r="M72" s="310" t="n"/>
      <c r="N72" s="310" t="n"/>
      <c r="O72" s="310" t="n"/>
      <c r="P72" s="310" t="n"/>
      <c r="Q72" s="310" t="n"/>
      <c r="R72" s="402" t="n"/>
      <c r="S72" s="402" t="n"/>
      <c r="T72" s="402" t="n"/>
      <c r="U72" s="402" t="n"/>
      <c r="Y72" s="423" t="inlineStr">
        <is>
          <t>Section AE : Details of Auditor</t>
        </is>
      </c>
      <c r="AC72" s="423" t="inlineStr">
        <is>
          <t>Section AE : Details of Auditor</t>
        </is>
      </c>
      <c r="AG72" s="423" t="inlineStr">
        <is>
          <t>Section AE : Details of Auditor</t>
        </is>
      </c>
      <c r="AK72" s="423" t="inlineStr">
        <is>
          <t>Section AE : Details of Auditor</t>
        </is>
      </c>
      <c r="AO72" s="423" t="inlineStr">
        <is>
          <t>Section AE : Details of Auditor</t>
        </is>
      </c>
      <c r="AS72" s="423" t="inlineStr">
        <is>
          <t>Section AE : Details of Auditor</t>
        </is>
      </c>
      <c r="AW72" s="423" t="inlineStr">
        <is>
          <t>Section AE : Details of Auditor</t>
        </is>
      </c>
      <c r="BA72" s="423" t="inlineStr">
        <is>
          <t>Section AE : Details of Auditor</t>
        </is>
      </c>
      <c r="BE72" s="423" t="inlineStr">
        <is>
          <t>Section AE : Details of Auditor</t>
        </is>
      </c>
      <c r="BI72" s="423" t="inlineStr">
        <is>
          <t>Section AE : Details of Auditor</t>
        </is>
      </c>
      <c r="BM72" s="423" t="inlineStr">
        <is>
          <t>Section AE : Details of Auditor</t>
        </is>
      </c>
      <c r="BQ72" s="423" t="inlineStr">
        <is>
          <t>Section AE : Details of Auditor</t>
        </is>
      </c>
      <c r="BU72" s="423" t="inlineStr">
        <is>
          <t>Section AE : Details of Auditor</t>
        </is>
      </c>
      <c r="BY72" s="423" t="inlineStr">
        <is>
          <t>Section AE : Details of Auditor</t>
        </is>
      </c>
      <c r="CC72" s="423" t="inlineStr">
        <is>
          <t>Section AE : Details of Auditor</t>
        </is>
      </c>
      <c r="CG72" s="423" t="inlineStr">
        <is>
          <t>Section AE : Details of Auditor</t>
        </is>
      </c>
      <c r="CK72" s="423" t="inlineStr">
        <is>
          <t>Section AE : Details of Auditor</t>
        </is>
      </c>
      <c r="CO72" s="423" t="inlineStr">
        <is>
          <t>Section AE : Details of Auditor</t>
        </is>
      </c>
      <c r="CS72" s="423" t="inlineStr">
        <is>
          <t>Section AE : Details of Auditor</t>
        </is>
      </c>
      <c r="CW72" s="423" t="inlineStr">
        <is>
          <t>Section AE : Details of Auditor</t>
        </is>
      </c>
      <c r="DA72" s="423" t="inlineStr">
        <is>
          <t>Section AE : Details of Auditor</t>
        </is>
      </c>
      <c r="DE72" s="423" t="inlineStr">
        <is>
          <t>Section AE : Details of Auditor</t>
        </is>
      </c>
      <c r="DI72" s="423" t="inlineStr">
        <is>
          <t>Section AE : Details of Auditor</t>
        </is>
      </c>
      <c r="DM72" s="423" t="inlineStr">
        <is>
          <t>Section AE : Details of Auditor</t>
        </is>
      </c>
      <c r="DQ72" s="423" t="inlineStr">
        <is>
          <t>Section AE : Details of Auditor</t>
        </is>
      </c>
      <c r="DU72" s="423" t="inlineStr">
        <is>
          <t>Section AE : Details of Auditor</t>
        </is>
      </c>
      <c r="DY72" s="423" t="inlineStr">
        <is>
          <t>Section AE : Details of Auditor</t>
        </is>
      </c>
      <c r="EC72" s="423" t="inlineStr">
        <is>
          <t>Section AE : Details of Auditor</t>
        </is>
      </c>
      <c r="EG72" s="423" t="inlineStr">
        <is>
          <t>Section AE : Details of Auditor</t>
        </is>
      </c>
      <c r="EK72" s="423" t="inlineStr">
        <is>
          <t>Section AE : Details of Auditor</t>
        </is>
      </c>
      <c r="EO72" s="423" t="inlineStr">
        <is>
          <t>Section AE : Details of Auditor</t>
        </is>
      </c>
      <c r="ES72" s="423" t="inlineStr">
        <is>
          <t>Section AE : Details of Auditor</t>
        </is>
      </c>
      <c r="EW72" s="423" t="inlineStr">
        <is>
          <t>Section AE : Details of Auditor</t>
        </is>
      </c>
      <c r="FA72" s="423" t="inlineStr">
        <is>
          <t>Section AE : Details of Auditor</t>
        </is>
      </c>
      <c r="FE72" s="423" t="inlineStr">
        <is>
          <t>Section AE : Details of Auditor</t>
        </is>
      </c>
      <c r="FI72" s="423" t="inlineStr">
        <is>
          <t>Section AE : Details of Auditor</t>
        </is>
      </c>
      <c r="FM72" s="423" t="inlineStr">
        <is>
          <t>Section AE : Details of Auditor</t>
        </is>
      </c>
      <c r="FQ72" s="423" t="inlineStr">
        <is>
          <t>Section AE : Details of Auditor</t>
        </is>
      </c>
      <c r="FU72" s="423" t="inlineStr">
        <is>
          <t>Section AE : Details of Auditor</t>
        </is>
      </c>
      <c r="FY72" s="423" t="inlineStr">
        <is>
          <t>Section AE : Details of Auditor</t>
        </is>
      </c>
      <c r="GC72" s="423" t="inlineStr">
        <is>
          <t>Section AE : Details of Auditor</t>
        </is>
      </c>
      <c r="GG72" s="423" t="inlineStr">
        <is>
          <t>Section AE : Details of Auditor</t>
        </is>
      </c>
      <c r="GK72" s="423" t="inlineStr">
        <is>
          <t>Section AE : Details of Auditor</t>
        </is>
      </c>
      <c r="GO72" s="423" t="inlineStr">
        <is>
          <t>Section AE : Details of Auditor</t>
        </is>
      </c>
      <c r="GS72" s="423" t="inlineStr">
        <is>
          <t>Section AE : Details of Auditor</t>
        </is>
      </c>
      <c r="GW72" s="423" t="inlineStr">
        <is>
          <t>Section AE : Details of Auditor</t>
        </is>
      </c>
      <c r="HA72" s="423" t="inlineStr">
        <is>
          <t>Section AE : Details of Auditor</t>
        </is>
      </c>
      <c r="HE72" s="423" t="inlineStr">
        <is>
          <t>Section AE : Details of Auditor</t>
        </is>
      </c>
      <c r="HI72" s="423" t="inlineStr">
        <is>
          <t>Section AE : Details of Auditor</t>
        </is>
      </c>
      <c r="HM72" s="423" t="inlineStr">
        <is>
          <t>Section AE : Details of Auditor</t>
        </is>
      </c>
      <c r="HQ72" s="423" t="inlineStr">
        <is>
          <t>Section AE : Details of Auditor</t>
        </is>
      </c>
      <c r="HU72" s="423" t="inlineStr">
        <is>
          <t>Section AE : Details of Auditor</t>
        </is>
      </c>
      <c r="HY72" s="423" t="inlineStr">
        <is>
          <t>Section AE : Details of Auditor</t>
        </is>
      </c>
      <c r="IC72" s="423" t="inlineStr">
        <is>
          <t>Section AE : Details of Auditor</t>
        </is>
      </c>
      <c r="IG72" s="423" t="inlineStr">
        <is>
          <t>Section AE : Details of Auditor</t>
        </is>
      </c>
      <c r="IK72" s="423" t="inlineStr">
        <is>
          <t>Section AE : Details of Auditor</t>
        </is>
      </c>
      <c r="IO72" s="423" t="inlineStr">
        <is>
          <t>Section AE : Details of Auditor</t>
        </is>
      </c>
      <c r="IS72" s="423" t="inlineStr">
        <is>
          <t>Section AE : Details of Auditor</t>
        </is>
      </c>
    </row>
    <row r="73" ht="17" customFormat="1" customHeight="1" s="423">
      <c r="A73" s="34" t="inlineStr">
        <is>
          <t>Exemption Certificate Number</t>
        </is>
      </c>
      <c r="B73" s="34" t="inlineStr">
        <is>
          <t>Date From</t>
        </is>
      </c>
      <c r="C73" s="34" t="inlineStr">
        <is>
          <t>Date To</t>
        </is>
      </c>
      <c r="D73" s="310" t="inlineStr">
        <is>
          <t>spouseCode</t>
        </is>
      </c>
      <c r="E73" s="310" t="n"/>
      <c r="F73" s="310" t="n"/>
      <c r="G73" s="310" t="n"/>
      <c r="H73" s="310" t="n"/>
      <c r="I73" s="310" t="n"/>
      <c r="J73" s="310" t="n"/>
      <c r="K73" s="310" t="n"/>
      <c r="L73" s="310" t="n"/>
      <c r="M73" s="310" t="n"/>
      <c r="N73" s="310" t="n"/>
      <c r="O73" s="310" t="n"/>
      <c r="P73" s="310" t="n"/>
      <c r="Q73" s="310" t="n"/>
      <c r="R73" s="402" t="n"/>
      <c r="S73" s="402" t="n"/>
      <c r="T73" s="402" t="n"/>
      <c r="U73" s="402" t="n"/>
    </row>
    <row r="74" ht="17" customFormat="1" customHeight="1" s="423">
      <c r="A74" s="587" t="n"/>
      <c r="B74" s="587" t="n"/>
      <c r="C74" s="587" t="n"/>
      <c r="D74" s="310">
        <f>IF(A74="","",CONCATENATE("W"))</f>
        <v/>
      </c>
      <c r="E74" s="310">
        <f>IF(C74="","",VALUE(MID(C74,4,2)))</f>
        <v/>
      </c>
      <c r="F74" s="310">
        <f>IF(B74="","",VALUE(MID(B74,4,2)))</f>
        <v/>
      </c>
      <c r="G74" s="310">
        <f>IF(E74="","",IF(F74="","", IF(E74-F74+1&lt;0, 0, E74-F74+1)))</f>
        <v/>
      </c>
      <c r="H74" s="310" t="n"/>
      <c r="I74" s="310" t="n"/>
      <c r="J74" s="310" t="n"/>
      <c r="K74" s="310" t="n"/>
      <c r="L74" s="310" t="n"/>
      <c r="M74" s="310" t="n"/>
      <c r="N74" s="310" t="n"/>
      <c r="O74" s="310" t="n"/>
      <c r="P74" s="310" t="n"/>
      <c r="Q74" s="310" t="n"/>
      <c r="R74" s="402" t="n"/>
      <c r="S74" s="402" t="n"/>
      <c r="T74" s="402" t="n"/>
      <c r="U74" s="402" t="n"/>
    </row>
    <row r="75" ht="17" customFormat="1" customHeight="1" s="423">
      <c r="A75" s="587" t="n"/>
      <c r="B75" s="587" t="n"/>
      <c r="C75" s="587" t="n"/>
      <c r="D75" s="310">
        <f>IF(A75="","",CONCATENATE("W"))</f>
        <v/>
      </c>
      <c r="E75" s="310">
        <f>IF(C75="","",VALUE(MID(C75,4,2)))</f>
        <v/>
      </c>
      <c r="F75" s="310">
        <f>IF(B75="","",VALUE(MID(B75,4,2)))</f>
        <v/>
      </c>
      <c r="G75" s="310">
        <f>IF(E75="","",IF(F75="","", IF(E75-F75+1&lt;0, 0, E75-F75+1)))</f>
        <v/>
      </c>
      <c r="H75" s="310" t="n"/>
      <c r="I75" s="310" t="n"/>
      <c r="J75" s="310" t="n"/>
      <c r="K75" s="310" t="n"/>
      <c r="L75" s="310" t="n"/>
      <c r="M75" s="310" t="n"/>
      <c r="N75" s="310" t="n"/>
      <c r="O75" s="310" t="n"/>
      <c r="P75" s="310" t="n"/>
      <c r="Q75" s="310" t="n"/>
      <c r="R75" s="402" t="n"/>
      <c r="S75" s="402" t="n"/>
      <c r="T75" s="402" t="n"/>
      <c r="U75" s="402" t="n"/>
    </row>
    <row r="76" ht="16" customFormat="1" customHeight="1" s="423">
      <c r="A76" s="66" t="n"/>
      <c r="B76" s="66" t="n"/>
      <c r="C76" s="66" t="n"/>
      <c r="D76" s="310" t="n"/>
      <c r="E76" s="310" t="n"/>
      <c r="F76" s="310" t="n"/>
      <c r="G76" s="310">
        <f>IF(SUM(G74:OFFSET(exempt.MonthCodeW,-1,0))&gt;12,0,SUM(G74:OFFSET(exempt.MonthCodeW,-1,0)))</f>
        <v/>
      </c>
      <c r="H76" s="310" t="n"/>
      <c r="I76" s="310" t="n"/>
      <c r="J76" s="310" t="n"/>
      <c r="K76" s="310" t="n"/>
      <c r="L76" s="310" t="n"/>
      <c r="M76" s="310" t="n"/>
      <c r="N76" s="310" t="n"/>
      <c r="O76" s="310" t="n"/>
      <c r="P76" s="310" t="n"/>
      <c r="Q76" s="310" t="n"/>
      <c r="R76" s="402" t="n"/>
      <c r="S76" s="402" t="n"/>
      <c r="T76" s="402" t="n"/>
      <c r="U76" s="402" t="n"/>
    </row>
    <row r="77" ht="37.5" customFormat="1" customHeight="1" s="525">
      <c r="A77" s="66" t="n"/>
      <c r="B77" s="66" t="n"/>
      <c r="C77" s="66" t="n"/>
      <c r="D77" s="327" t="n"/>
      <c r="E77" s="327">
        <f>MAX(E74:OFFSET(exempt.MonthCodeWMax,-1,0))</f>
        <v/>
      </c>
      <c r="F77" s="327">
        <f>MIN(F74:OFFSET(exempt.MonthCodeWMin,-1,0))</f>
        <v/>
      </c>
      <c r="G77" s="327">
        <f>IF(exempt.MonthCodeWMin&gt;12,0, IF(exempt.MonthCodeWMin=0,0, IF((3-exempt.MonthCodeWMin)+1&lt;0,0, IF(AND(exempt.MonthCodeWMin&lt;=3,exempt.MonthCodeWMax&lt;=3),exempt.MonthCodeWMax, (3-exempt.MonthCodeWMin)+1))))</f>
        <v/>
      </c>
      <c r="H77" s="327">
        <f>IF(exempt.MonthCodeWMax&gt;12,0, IF(exempt.MonthCodeWMax=0,0,  IF(exempt.MonthCodeWJanMar&gt;0,IF((exempt.MonthCodeWMax-3)&lt;0,0,(exempt.MonthCodeWMax-3)),  IF(exempt.MonthCodeWJanMar=0,IF((exempt.MonthCodeWMax-exempt.MonthCodeWMin)+1&lt;0,0,(exempt.MonthCodeWMax-exempt.MonthCodeWMin)+1),0))))</f>
        <v/>
      </c>
      <c r="I77" s="327" t="n"/>
      <c r="J77" s="327" t="n"/>
      <c r="K77" s="327" t="n"/>
      <c r="L77" s="327" t="n"/>
      <c r="M77" s="327" t="n"/>
      <c r="N77" s="327" t="n"/>
      <c r="O77" s="327" t="n"/>
      <c r="P77" s="327" t="n"/>
      <c r="Q77" s="327" t="n"/>
      <c r="R77" s="61" t="n"/>
      <c r="S77" s="61" t="n"/>
      <c r="T77" s="61" t="n"/>
      <c r="U77" s="61" t="n"/>
    </row>
    <row r="78" hidden="1" ht="15.75" customHeight="1" s="486">
      <c r="A78" s="495" t="n"/>
      <c r="C78" s="40" t="n"/>
    </row>
    <row r="79" hidden="1" ht="15.75" customHeight="1" s="486">
      <c r="A79" s="495" t="n"/>
    </row>
    <row r="80" hidden="1" s="486">
      <c r="A80" t="inlineStr">
        <is>
          <t> </t>
        </is>
      </c>
    </row>
  </sheetData>
  <sheetProtection selectLockedCells="0" selectUnlockedCells="0" algorithmName="SHA-512" sheet="1" objects="1" insertRows="1" insertHyperlinks="1" autoFilter="1" scenarios="1" formatColumns="1" deleteColumns="1" insertColumns="1" pivotTables="1" deleteRows="1" formatCells="1" saltValue="kzmrfjVmaJa++HLQbHt/5Q==" formatRows="1" sort="1" spinCount="100000" hashValue="chibGJSJlJbQ46OV9RewiVVPUGTHazZQY5aL05G6IiCmc3NCjG1hEFARQkEkviS8bGOOYHPRAoxglJcIPn3DRg=="/>
  <mergeCells count="32">
    <mergeCell ref="C34:J34"/>
    <mergeCell ref="A66:C66"/>
    <mergeCell ref="A54:O54"/>
    <mergeCell ref="A59:B59"/>
    <mergeCell ref="K50:M50"/>
    <mergeCell ref="N50:O50"/>
    <mergeCell ref="A49:E49"/>
    <mergeCell ref="K43:M43"/>
    <mergeCell ref="K59:M59"/>
    <mergeCell ref="A78:B78"/>
    <mergeCell ref="N43:O43"/>
    <mergeCell ref="A47:O47"/>
    <mergeCell ref="C50:J50"/>
    <mergeCell ref="B1:C1"/>
    <mergeCell ref="A72:C72"/>
    <mergeCell ref="A50:B50"/>
    <mergeCell ref="A28:C28"/>
    <mergeCell ref="A21:B21"/>
    <mergeCell ref="A2:B2"/>
    <mergeCell ref="A38:O38"/>
    <mergeCell ref="C59:J59"/>
    <mergeCell ref="A63:O63"/>
    <mergeCell ref="C43:J43"/>
    <mergeCell ref="A42:E42"/>
    <mergeCell ref="A33:E33"/>
    <mergeCell ref="K34:M34"/>
    <mergeCell ref="N59:O59"/>
    <mergeCell ref="N34:O34"/>
    <mergeCell ref="A43:B43"/>
    <mergeCell ref="A79:C79"/>
    <mergeCell ref="A58:E58"/>
    <mergeCell ref="A34:B34"/>
  </mergeCells>
  <dataValidations xWindow="902" yWindow="543" count="27">
    <dataValidation sqref="B78 P36:P37 P45:P46 P52:P53 P61:P62"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I36:I37 I45:I46 I52:I53 I61:I62" showDropDown="0" showInputMessage="1" showErrorMessage="1" allowBlank="0" errorTitle="Data Error:" error="Please select data from DropDown Only. " promptTitle="List:" prompt="Select data from DropDown List. " type="list" operator="lessThanOrEqual">
      <formula1>INDIRECT(INDEX(searchLocalName,MATCH(H36,districtName,0),0))</formula1>
    </dataValidation>
    <dataValidation sqref="H36:H37 H45:H46 H52:H53 H61:H62" showDropDown="0" showInputMessage="1" showErrorMessage="1" allowBlank="0" errorTitle="Data Error:" error="Please select data from DropDown Only. " promptTitle="List:" prompt="Select data from DropDown List. " type="list" operator="lessThanOrEqual">
      <formula1>INDIRECT(INDEX(searchDistrictRange,MATCH(G36,CountyName,0),0))</formula1>
    </dataValidation>
    <dataValidation sqref="P38 P47 P54 P63:P65 P70:P71" showDropDown="0" showInputMessage="1" showErrorMessage="1" allowBlank="0" errorTitle="Numeric" error="Please enter numeric data" promptTitle="Numeric" prompt="Enter numeric value of length less than or equal to 15 digit." type="decimal">
      <formula1>0</formula1>
      <formula2>999999999999999000</formula2>
    </dataValidation>
    <dataValidation sqref="B24" showDropDown="0" showInputMessage="1" showErrorMessage="1" allowBlank="0" errorTitle="Data Error:" error="Please select data from DropDown Only. " promptTitle="List:" prompt="Select data from DropDown List. " type="list">
      <formula1>INDIRECT(LOOKUP(B23,BankNames,searchBankRange))</formula1>
    </dataValidation>
    <dataValidation sqref="A36:A37 A45:A46 A52:A53 A61:A62 B18 B30:C30" showDropDown="0" showInputMessage="1" showErrorMessage="1" allowBlank="0" errorTitle="Data Error:" error="Please enter PIN in proper format.  " promptTitle="Alphanumeric:" prompt="Enter 11 digit alphanumeric values for PIN. " type="textLength">
      <formula1>11</formula1>
      <formula2>11</formula2>
    </dataValidation>
    <dataValidation sqref="G36:G37 G45:G46 G52:G53 G61:G62" showDropDown="0" showInputMessage="1" showErrorMessage="1" allowBlank="0" errorTitle="Data Error:" error="Please select data from DropDown Only. " promptTitle="List:" prompt="Select data from DropDown List. " type="list" operator="lessThanOrEqual">
      <formula1>CountyName</formula1>
    </dataValidation>
    <dataValidation sqref="F36:F37 F45:F46 F52:F53 F61:F62" showDropDown="0" showInputMessage="1" showErrorMessage="1" allowBlank="0" errorTitle="Data Error:" error="Please enter alphabetic value of length less than or equal to 50  characters." promptTitle="Alphabetic:" prompt="Enter alphabetic value of length less than or equal to 50  characters." type="textLength" operator="lessThanOrEqual">
      <formula1>50</formula1>
    </dataValidation>
    <dataValidation sqref="B36:E37 B45:E46 B52:E53 B61:E62"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operator="lessThanOrEqual">
      <formula1>50</formula1>
    </dataValidation>
    <dataValidation sqref="N36:N37 N45:N46 N52:O53 N61:O62" showDropDown="0" showInputMessage="1" showErrorMessage="0" allowBlank="0" errorTitle="Date" error="Please enter date value in dd/mm/yyyy format." promptTitle="Date:" prompt="Enter date value in dd/mm/yyyy format." type="date">
      <formula1>1</formula1>
      <formula2>401738</formula2>
    </dataValidation>
    <dataValidation sqref="L36:L37 L45:L46 L52:L53 L61:L62" showDropDown="0" showInputMessage="1" showErrorMessage="1" allowBlank="0" errorTitle="Data Error:" error="Please select data from DropDown Only. " promptTitle="List:" prompt="Select data from DropDown List. " type="list">
      <formula1>Town</formula1>
    </dataValidation>
    <dataValidation sqref="K36:K37 K45:K46 K52:K53 K61:K62" showDropDown="0" showInputMessage="1" showErrorMessage="1" allowBlank="0" errorTitle="Data Error:" error="Please enter positive numeric value of length between 1 and 15_x000a_digit." promptTitle="Numeric:" prompt="Enter numeric value of length between 1 and 15 digit." type="whole">
      <formula1>1</formula1>
      <formula2>999999999999999</formula2>
    </dataValidation>
    <dataValidation sqref="J36:J37 J45:J46 J52:J53 J61:J62" showDropDown="0" showInputMessage="1" showErrorMessage="1" allowBlank="0" errorTitle="Data Error:" error="Please enter alphanumeric value of length less than or equal to 200  characters." promptTitle="Alphanumeric:" prompt="Enter alphanumeric value of length less than or equal to 200  characters.Special characters like Space , - . / : are allowed." type="textLength" operator="lessThanOrEqual">
      <formula1>200</formula1>
    </dataValidation>
    <dataValidation sqref="B3" showDropDown="0" showInputMessage="1" showErrorMessage="1" allowBlank="0" errorTitle="Data Error:" error="Please enter Personal Identification Number in proper format.  " promptTitle="Alphanumeric:" prompt="Enter 11 digit alphanumeric values for Personal Identification Number. " type="textLength">
      <formula1>11</formula1>
      <formula2>11</formula2>
    </dataValidation>
    <dataValidation sqref="B4" showDropDown="0" showInputMessage="1" showErrorMessage="1" allowBlank="0" errorTitle="Data Error:" error="Please select data from DropDown Only. " promptTitle="List:" prompt="Select data from DropDown List. " type="list">
      <formula1>ReturnType</formula1>
    </dataValidation>
    <dataValidation sqref="B5:B6" showDropDown="0" showInputMessage="1" showErrorMessage="1" allowBlank="0" errorTitle="Data Error :" error="Please enter date value in dd/mm/yyyy format." promptTitle="Date:" prompt="Enter date value in dd/mm/yyyy format." type="textLength">
      <formula1>10</formula1>
      <formula2>10</formula2>
    </dataValidation>
    <dataValidation sqref="B17" showDropDown="0" showInputMessage="1" showErrorMessage="1" allowBlank="0" errorTitle="Data Error:" error="Please select data from DropDown Only. " promptTitle="List:" prompt="Select data from DropDown List. " type="list" operator="equal">
      <formula1>Boolean</formula1>
    </dataValidation>
    <dataValidation sqref="B31:C31"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formula1>0</formula1>
      <formula2>50</formula2>
    </dataValidation>
    <dataValidation sqref="B25" showDropDown="0" showInputMessage="1" showErrorMessage="1" allowBlank="0" errorTitle="Data Error:" error="Please enter alphabetic value of length less than or equal to 50  characters." promptTitle="Alphabetic:" prompt="Enter alphabetic value of length less than or equal to 50  characters." type="textLength">
      <formula1>0</formula1>
      <formula2>50</formula2>
    </dataValidation>
    <dataValidation sqref="B23" showDropDown="0" showInputMessage="1" showErrorMessage="1" allowBlank="0" errorTitle="Data Error:" error="Please select data from DropDown Only. " promptTitle="List:" prompt="Select data from DropDown List. " type="list">
      <formula1>BankNames</formula1>
    </dataValidation>
    <dataValidation sqref="B27" showDropDown="0" showInputMessage="1" showErrorMessage="1" allowBlank="0" errorTitle="Data Error:" error="Please enter alphanumeric value of length greater than 4 characters and less than or equal to 20  characters." promptTitle="Numeric:" prompt="Enter alphanumeric value of length greater than 4 characters and less than or equal to 20  characters.Special characters like Space , - . / : are allowed." type="textLength">
      <formula1>4</formula1>
      <formula2>20</formula2>
    </dataValidation>
    <dataValidation sqref="B7:B16 B19:B20" showDropDown="0" showInputMessage="1" showErrorMessage="1" allowBlank="0" errorTitle="Data Error :" error="Please select data from DropDown Only. " promptTitle="List:" prompt="Select data from DropDown List. " type="list">
      <formula1>DeclareIncomeYN</formula1>
    </dataValidation>
    <dataValidation sqref="B32:C32 B76:C76" showDropDown="0" showInputMessage="1" showErrorMessage="0" allowBlank="0" errorTitle="Date" error="Please enter date value in dd/mm/yyyy format." promptTitle="Date:" prompt="Enter date value in dd/mm/yyyy format." type="date">
      <formula1>10</formula1>
      <formula2>10</formula2>
    </dataValidation>
    <dataValidation sqref="B67:C67 B73:C73" showDropDown="0" showInputMessage="0" showErrorMessage="0" allowBlank="0"/>
    <dataValidation sqref="B68:C69 B74:C75" showDropDown="0" showInputMessage="1" showErrorMessage="0" allowBlank="0" promptTitle="Date:" prompt="Enter date value in dd/mm/yyyy format." type="date">
      <formula1>32874</formula1>
      <formula2>36526</formula2>
    </dataValidation>
    <dataValidation sqref="M36:M37 M45:M46 M52:M53 M61:M62" showDropDown="0" showInputMessage="1" showErrorMessage="1" allowBlank="0" errorTitle="Data Error:" error="Please select data from DropDown Only." promptTitle="List:" prompt="Select data from DropDown List." type="list">
      <formula1>PostalCodesSorted</formula1>
    </dataValidation>
    <dataValidation sqref="B26"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amp; _ ' (  ) are allowed." type="textLength">
      <formula1>0</formula1>
      <formula2>50</formula2>
    </dataValidation>
  </dataValidations>
  <pageMargins left="0.7" right="0.7" top="0.75" bottom="0.75" header="0.3" footer="0.3"/>
  <pageSetup orientation="portrait"/>
  <drawing r:id="rId1"/>
</worksheet>
</file>

<file path=xl/worksheets/sheet9.xml><?xml version="1.0" encoding="utf-8"?>
<worksheet xmlns:r="http://schemas.openxmlformats.org/officeDocument/2006/relationships" xmlns="http://schemas.openxmlformats.org/spreadsheetml/2006/main">
  <sheetPr codeName="Sheet6">
    <outlinePr summaryBelow="1" summaryRight="1"/>
    <pageSetUpPr/>
  </sheetPr>
  <dimension ref="A1:IV130"/>
  <sheetViews>
    <sheetView zoomScaleNormal="100" workbookViewId="0">
      <pane xSplit="2" ySplit="2" topLeftCell="C3" activePane="bottomRight" state="frozen"/>
      <selection pane="topRight" activeCell="C1" sqref="C1"/>
      <selection pane="bottomLeft" activeCell="A3" sqref="A3"/>
      <selection pane="bottomRight" activeCell="C5" sqref="C5"/>
    </sheetView>
  </sheetViews>
  <sheetFormatPr baseColWidth="10" defaultColWidth="0" defaultRowHeight="16" zeroHeight="1"/>
  <cols>
    <col width="9.33203125" customWidth="1" style="178" min="1" max="1"/>
    <col width="80.6640625" customWidth="1" style="176" min="2" max="2"/>
    <col width="27.6640625" customWidth="1" style="176" min="3" max="9"/>
    <col width="9.1640625" customWidth="1" style="182" min="10" max="10"/>
    <col hidden="1" width="13" customWidth="1" style="176" min="11" max="11"/>
    <col hidden="1" width="13" customWidth="1" style="176" min="12" max="16384"/>
  </cols>
  <sheetData>
    <row r="1" ht="42" customHeight="1" s="486">
      <c r="A1" s="513">
        <f>CONCATENATE("Section B : Profit / Surplus and Loss Account for the Year Ending on 31st December , ",SecA.RtnYear," (Self)")</f>
        <v/>
      </c>
      <c r="B1" s="514" t="n"/>
      <c r="C1" s="514" t="n"/>
      <c r="D1" s="514" t="n"/>
      <c r="E1" s="514" t="n"/>
      <c r="F1" s="514" t="n"/>
      <c r="G1" s="514" t="n"/>
      <c r="H1" s="514" t="n"/>
      <c r="I1" s="515" t="n"/>
      <c r="K1" s="175" t="n"/>
      <c r="L1" s="175" t="n"/>
    </row>
    <row r="2" ht="21" customHeight="1" s="486">
      <c r="A2" s="545" t="inlineStr">
        <is>
          <t>Sr. No.</t>
        </is>
      </c>
      <c r="B2" s="545" t="inlineStr">
        <is>
          <t>Description</t>
        </is>
      </c>
      <c r="C2" s="145" t="inlineStr">
        <is>
          <t>Business (Ksh)</t>
        </is>
      </c>
      <c r="D2" s="145" t="inlineStr">
        <is>
          <t>Farming (Ksh)</t>
        </is>
      </c>
      <c r="E2" s="145" t="inlineStr">
        <is>
          <t>Rental (Ksh)</t>
        </is>
      </c>
      <c r="F2" s="145" t="inlineStr">
        <is>
          <t>Interest (Ksh)</t>
        </is>
      </c>
      <c r="G2" s="145" t="inlineStr">
        <is>
          <t>Commission (Ksh)</t>
        </is>
      </c>
      <c r="H2" s="145" t="inlineStr">
        <is>
          <t>Other (Ksh)</t>
        </is>
      </c>
      <c r="I2" s="145" t="inlineStr">
        <is>
          <t>Consolidated (Ksh)</t>
        </is>
      </c>
    </row>
    <row r="3" ht="17" customHeight="1" s="486">
      <c r="A3" s="307" t="n">
        <v>1</v>
      </c>
      <c r="B3" s="308" t="inlineStr">
        <is>
          <t>Gross Turnover of Business or Profession (1.1+1.2)</t>
        </is>
      </c>
      <c r="C3" s="139">
        <f>SUM(C4:C5)</f>
        <v/>
      </c>
      <c r="D3" s="139">
        <f>SUM(D4:D5)</f>
        <v/>
      </c>
      <c r="E3" s="139">
        <f>SUM(E4:E5)</f>
        <v/>
      </c>
      <c r="F3" s="139">
        <f>SUM(F4:F5)</f>
        <v/>
      </c>
      <c r="G3" s="139">
        <f>SUM(G4:G5)</f>
        <v/>
      </c>
      <c r="H3" s="139">
        <f>SUM(H4:H5)</f>
        <v/>
      </c>
      <c r="I3" s="139">
        <f>SUM(C3:H3)</f>
        <v/>
      </c>
    </row>
    <row r="4" ht="17" customHeight="1" s="486">
      <c r="A4" s="258" t="n">
        <v>1.1</v>
      </c>
      <c r="B4" s="238" t="inlineStr">
        <is>
          <t>Gross Turnover ( General Trading / Manufactured Goods)</t>
        </is>
      </c>
      <c r="C4" s="45" t="n"/>
      <c r="D4" s="45" t="n"/>
      <c r="E4" s="45" t="n"/>
      <c r="F4" s="45" t="n"/>
      <c r="G4" s="45" t="n"/>
      <c r="H4" s="45" t="n"/>
      <c r="I4" s="139">
        <f>SUM(C4:H4)</f>
        <v/>
      </c>
    </row>
    <row r="5" ht="17" customHeight="1" s="486">
      <c r="A5" s="258" t="n">
        <v>1.2</v>
      </c>
      <c r="B5" s="238" t="inlineStr">
        <is>
          <t>Gross Turnover of Profession / Consultancy Fees</t>
        </is>
      </c>
      <c r="C5" s="45" t="n"/>
      <c r="D5" s="45" t="n"/>
      <c r="E5" s="45" t="n"/>
      <c r="F5" s="45" t="n"/>
      <c r="G5" s="45" t="n"/>
      <c r="H5" s="45" t="n"/>
      <c r="I5" s="139">
        <f>SUM(C5:H5)</f>
        <v/>
      </c>
    </row>
    <row r="6">
      <c r="A6" s="512" t="n"/>
      <c r="B6" s="491" t="n"/>
      <c r="C6" s="491" t="n"/>
      <c r="D6" s="491" t="n"/>
      <c r="E6" s="491" t="n"/>
      <c r="F6" s="491" t="n"/>
      <c r="G6" s="491" t="n"/>
      <c r="H6" s="491" t="n"/>
      <c r="I6" s="481" t="n"/>
    </row>
    <row r="7" ht="17" customFormat="1" customHeight="1" s="177">
      <c r="A7" s="307" t="n">
        <v>2</v>
      </c>
      <c r="B7" s="308" t="inlineStr">
        <is>
          <t>Cost of Sales (2.1+2.2+2.3+2.4-2.5)</t>
        </is>
      </c>
      <c r="C7" s="139">
        <f>ROUND(C8,2)+ROUND(C13,2)+ROUND(C17,2)+ROUND(C21,2)-ROUND(C29,2)</f>
        <v/>
      </c>
      <c r="D7" s="139">
        <f>ROUND(D8,2)+ROUND(D13,2)+ROUND(D17,2)+ROUND(D21,2)-ROUND(D29,2)</f>
        <v/>
      </c>
      <c r="E7" s="139">
        <f>ROUND(E8,2)+ROUND(E13,2)+ROUND(E17,2)+ROUND(E21,2)-ROUND(E29,2)</f>
        <v/>
      </c>
      <c r="F7" s="139">
        <f>ROUND(F8,2)+ROUND(F13,2)+ROUND(F17,2)+ROUND(F21,2)-ROUND(F29,2)</f>
        <v/>
      </c>
      <c r="G7" s="139">
        <f>ROUND(G8,2)+ROUND(G13,2)+ROUND(G17,2)+ROUND(G21,2)-ROUND(G29,2)</f>
        <v/>
      </c>
      <c r="H7" s="139">
        <f>ROUND(H8,2)+ROUND(H13,2)+ROUND(H17,2)+ROUND(H21,2)-ROUND(H29,2)</f>
        <v/>
      </c>
      <c r="I7" s="139">
        <f>SUM(C7:H7)</f>
        <v/>
      </c>
      <c r="J7" s="182" t="n"/>
    </row>
    <row r="8" ht="17" customFormat="1" customHeight="1" s="177">
      <c r="A8" s="307" t="n">
        <v>2.1</v>
      </c>
      <c r="B8" s="308" t="inlineStr">
        <is>
          <t>Opening Stock (2.1.1+2.1.2+2.1.3)</t>
        </is>
      </c>
      <c r="C8" s="139">
        <f>SUM(C9:C11)</f>
        <v/>
      </c>
      <c r="D8" s="139">
        <f>SUM(D9:D11)</f>
        <v/>
      </c>
      <c r="E8" s="139">
        <f>SUM(E9:E11)</f>
        <v/>
      </c>
      <c r="F8" s="139">
        <f>SUM(F9:F11)</f>
        <v/>
      </c>
      <c r="G8" s="139">
        <f>SUM(G9:G11)</f>
        <v/>
      </c>
      <c r="H8" s="139">
        <f>SUM(H9:H11)</f>
        <v/>
      </c>
      <c r="I8" s="139">
        <f>SUM(C8:H8)</f>
        <v/>
      </c>
      <c r="J8" s="182" t="n"/>
    </row>
    <row r="9" ht="17" customHeight="1" s="486">
      <c r="A9" s="258" t="inlineStr">
        <is>
          <t>2.1.1</t>
        </is>
      </c>
      <c r="B9" s="238" t="inlineStr">
        <is>
          <t>Raw Materials</t>
        </is>
      </c>
      <c r="C9" s="45" t="n"/>
      <c r="D9" s="45" t="n"/>
      <c r="E9" s="45" t="n"/>
      <c r="F9" s="45" t="n"/>
      <c r="G9" s="45" t="n"/>
      <c r="H9" s="45" t="n"/>
      <c r="I9" s="139">
        <f>SUM(C9:H9)</f>
        <v/>
      </c>
    </row>
    <row r="10" ht="17" customHeight="1" s="486">
      <c r="A10" s="258" t="inlineStr">
        <is>
          <t>2.1.2</t>
        </is>
      </c>
      <c r="B10" s="238" t="inlineStr">
        <is>
          <t xml:space="preserve">Work in Progress </t>
        </is>
      </c>
      <c r="C10" s="45" t="n"/>
      <c r="D10" s="45" t="n"/>
      <c r="E10" s="45" t="n"/>
      <c r="F10" s="45" t="n"/>
      <c r="G10" s="45" t="n"/>
      <c r="H10" s="45" t="n"/>
      <c r="I10" s="139">
        <f>SUM(C10:H10)</f>
        <v/>
      </c>
    </row>
    <row r="11" ht="17" customHeight="1" s="486">
      <c r="A11" s="258" t="inlineStr">
        <is>
          <t>2.1.3</t>
        </is>
      </c>
      <c r="B11" s="190" t="inlineStr">
        <is>
          <t>Trading / Manufactured Goods (Finished Goods)</t>
        </is>
      </c>
      <c r="C11" s="45" t="n"/>
      <c r="D11" s="45" t="n"/>
      <c r="E11" s="45" t="n"/>
      <c r="F11" s="45" t="n"/>
      <c r="G11" s="45" t="n"/>
      <c r="H11" s="45" t="n"/>
      <c r="I11" s="139">
        <f>SUM(C11:H11)</f>
        <v/>
      </c>
    </row>
    <row r="12">
      <c r="A12" s="512" t="n"/>
      <c r="B12" s="491" t="n"/>
      <c r="C12" s="491" t="n"/>
      <c r="D12" s="491" t="n"/>
      <c r="E12" s="491" t="n"/>
      <c r="F12" s="491" t="n"/>
      <c r="G12" s="491" t="n"/>
      <c r="H12" s="491" t="n"/>
      <c r="I12" s="481" t="n"/>
    </row>
    <row r="13" ht="17" customFormat="1" customHeight="1" s="177">
      <c r="A13" s="307" t="n">
        <v>2.2</v>
      </c>
      <c r="B13" s="308" t="inlineStr">
        <is>
          <t>Purchases (2.2.1+2.2.2)</t>
        </is>
      </c>
      <c r="C13" s="139">
        <f>SUM(C14:C15)</f>
        <v/>
      </c>
      <c r="D13" s="139">
        <f>SUM(D14:D15)</f>
        <v/>
      </c>
      <c r="E13" s="139">
        <f>SUM(E14:E15)</f>
        <v/>
      </c>
      <c r="F13" s="139">
        <f>SUM(F14:F15)</f>
        <v/>
      </c>
      <c r="G13" s="139">
        <f>SUM(G14:G15)</f>
        <v/>
      </c>
      <c r="H13" s="139">
        <f>SUM(H14:H15)</f>
        <v/>
      </c>
      <c r="I13" s="139">
        <f>SUM(C13:H13)</f>
        <v/>
      </c>
      <c r="J13" s="182" t="n"/>
    </row>
    <row r="14" ht="17" customHeight="1" s="486">
      <c r="A14" s="258" t="inlineStr">
        <is>
          <t>2.2.1</t>
        </is>
      </c>
      <c r="B14" s="238" t="inlineStr">
        <is>
          <t xml:space="preserve">Local Purchases </t>
        </is>
      </c>
      <c r="C14" s="45" t="n"/>
      <c r="D14" s="45" t="n"/>
      <c r="E14" s="45" t="n"/>
      <c r="F14" s="45" t="n"/>
      <c r="G14" s="45" t="n"/>
      <c r="H14" s="45" t="n"/>
      <c r="I14" s="139">
        <f>SUM(C14:H14)</f>
        <v/>
      </c>
    </row>
    <row r="15" ht="17" customHeight="1" s="486">
      <c r="A15" s="258" t="inlineStr">
        <is>
          <t>2.2.2</t>
        </is>
      </c>
      <c r="B15" s="238" t="inlineStr">
        <is>
          <t xml:space="preserve">Imports </t>
        </is>
      </c>
      <c r="C15" s="45" t="n"/>
      <c r="D15" s="45" t="n"/>
      <c r="E15" s="45" t="n"/>
      <c r="F15" s="45" t="n"/>
      <c r="G15" s="45" t="n"/>
      <c r="H15" s="45" t="n"/>
      <c r="I15" s="139">
        <f>SUM(C15:H15)</f>
        <v/>
      </c>
    </row>
    <row r="16" customFormat="1" s="177">
      <c r="A16" s="512" t="n"/>
      <c r="B16" s="491" t="n"/>
      <c r="C16" s="491" t="n"/>
      <c r="D16" s="491" t="n"/>
      <c r="E16" s="491" t="n"/>
      <c r="F16" s="491" t="n"/>
      <c r="G16" s="491" t="n"/>
      <c r="H16" s="491" t="n"/>
      <c r="I16" s="481" t="n"/>
      <c r="J16" s="182" t="n"/>
    </row>
    <row r="17" ht="17" customFormat="1" customHeight="1" s="177">
      <c r="A17" s="307" t="n">
        <v>2.3</v>
      </c>
      <c r="B17" s="308" t="inlineStr">
        <is>
          <t>Other Direct Costs (2.3.1+2.3.2)</t>
        </is>
      </c>
      <c r="C17" s="139">
        <f>SUM(C18:C19)</f>
        <v/>
      </c>
      <c r="D17" s="139">
        <f>SUM(D18:D19)</f>
        <v/>
      </c>
      <c r="E17" s="139">
        <f>SUM(E18:E19)</f>
        <v/>
      </c>
      <c r="F17" s="139">
        <f>SUM(F18:F19)</f>
        <v/>
      </c>
      <c r="G17" s="139">
        <f>SUM(G18:G19)</f>
        <v/>
      </c>
      <c r="H17" s="139">
        <f>SUM(H18:H19)</f>
        <v/>
      </c>
      <c r="I17" s="139">
        <f>SUM(C17:H17)</f>
        <v/>
      </c>
      <c r="J17" s="182" t="n"/>
    </row>
    <row r="18" ht="17" customHeight="1" s="486">
      <c r="A18" s="258" t="inlineStr">
        <is>
          <t>2.3.1</t>
        </is>
      </c>
      <c r="B18" s="238" t="inlineStr">
        <is>
          <t>Direct Wages</t>
        </is>
      </c>
      <c r="C18" s="45" t="n"/>
      <c r="D18" s="45" t="n"/>
      <c r="E18" s="45" t="n"/>
      <c r="F18" s="45" t="n"/>
      <c r="G18" s="45" t="n"/>
      <c r="H18" s="45" t="n"/>
      <c r="I18" s="139">
        <f>SUM(C18:H18)</f>
        <v/>
      </c>
    </row>
    <row r="19" ht="17" customHeight="1" s="486">
      <c r="A19" s="258" t="inlineStr">
        <is>
          <t>2.3.2</t>
        </is>
      </c>
      <c r="B19" s="238" t="inlineStr">
        <is>
          <t>Direct Expenses</t>
        </is>
      </c>
      <c r="C19" s="45" t="n"/>
      <c r="D19" s="45" t="n"/>
      <c r="E19" s="45" t="n"/>
      <c r="F19" s="45" t="n"/>
      <c r="G19" s="45" t="n"/>
      <c r="H19" s="45" t="n"/>
      <c r="I19" s="139">
        <f>SUM(C19:H19)</f>
        <v/>
      </c>
    </row>
    <row r="20">
      <c r="A20" s="512" t="n"/>
      <c r="B20" s="491" t="n"/>
      <c r="C20" s="491" t="n"/>
      <c r="D20" s="491" t="n"/>
      <c r="E20" s="491" t="n"/>
      <c r="F20" s="491" t="n"/>
      <c r="G20" s="491" t="n"/>
      <c r="H20" s="491" t="n"/>
      <c r="I20" s="481" t="n"/>
    </row>
    <row r="21" ht="17" customFormat="1" customHeight="1" s="177">
      <c r="A21" s="307" t="n">
        <v>2.4</v>
      </c>
      <c r="B21" s="308" t="inlineStr">
        <is>
          <t>Factory Overheads (2.4.1+2.4.2+2.4.3+2.4.4+2.4.5+2.4.6)</t>
        </is>
      </c>
      <c r="C21" s="139">
        <f>SUM(C22:C27)</f>
        <v/>
      </c>
      <c r="D21" s="139">
        <f>SUM(D22:D27)</f>
        <v/>
      </c>
      <c r="E21" s="139">
        <f>SUM(E22:E27)</f>
        <v/>
      </c>
      <c r="F21" s="139">
        <f>SUM(F22:F27)</f>
        <v/>
      </c>
      <c r="G21" s="139">
        <f>SUM(G22:G27)</f>
        <v/>
      </c>
      <c r="H21" s="139">
        <f>SUM(H22:H27)</f>
        <v/>
      </c>
      <c r="I21" s="139">
        <f>SUM(C21:H21)</f>
        <v/>
      </c>
      <c r="J21" s="182" t="n"/>
    </row>
    <row r="22" ht="17" customHeight="1" s="486">
      <c r="A22" s="258" t="inlineStr">
        <is>
          <t>2.4.1</t>
        </is>
      </c>
      <c r="B22" s="238" t="inlineStr">
        <is>
          <t>Rent and Rates</t>
        </is>
      </c>
      <c r="C22" s="45" t="n"/>
      <c r="D22" s="45" t="n"/>
      <c r="E22" s="45" t="n"/>
      <c r="F22" s="45" t="n"/>
      <c r="G22" s="45" t="n"/>
      <c r="H22" s="45" t="n"/>
      <c r="I22" s="139">
        <f>SUM(C22:H22)</f>
        <v/>
      </c>
    </row>
    <row r="23" ht="17" customHeight="1" s="486">
      <c r="A23" s="258" t="inlineStr">
        <is>
          <t>2.4.2</t>
        </is>
      </c>
      <c r="B23" s="238" t="inlineStr">
        <is>
          <t>Fuel and Power</t>
        </is>
      </c>
      <c r="C23" s="45" t="n"/>
      <c r="D23" s="45" t="n"/>
      <c r="E23" s="45" t="n"/>
      <c r="F23" s="45" t="n"/>
      <c r="G23" s="45" t="n"/>
      <c r="H23" s="45" t="n"/>
      <c r="I23" s="139">
        <f>SUM(C23:H23)</f>
        <v/>
      </c>
    </row>
    <row r="24" ht="17" customHeight="1" s="486">
      <c r="A24" s="258" t="inlineStr">
        <is>
          <t>2.4.3</t>
        </is>
      </c>
      <c r="B24" s="238" t="inlineStr">
        <is>
          <t>Indirect Wages</t>
        </is>
      </c>
      <c r="C24" s="45" t="n"/>
      <c r="D24" s="45" t="n"/>
      <c r="E24" s="45" t="n"/>
      <c r="F24" s="45" t="n"/>
      <c r="G24" s="45" t="n"/>
      <c r="H24" s="45" t="n"/>
      <c r="I24" s="139">
        <f>SUM(C24:H24)</f>
        <v/>
      </c>
    </row>
    <row r="25" ht="17" customHeight="1" s="486">
      <c r="A25" s="258" t="inlineStr">
        <is>
          <t>2.4.4</t>
        </is>
      </c>
      <c r="B25" s="238" t="inlineStr">
        <is>
          <t>Consumables</t>
        </is>
      </c>
      <c r="C25" s="45" t="n"/>
      <c r="D25" s="45" t="n"/>
      <c r="E25" s="45" t="n"/>
      <c r="F25" s="45" t="n"/>
      <c r="G25" s="45" t="n"/>
      <c r="H25" s="45" t="n"/>
      <c r="I25" s="139">
        <f>SUM(C25:H25)</f>
        <v/>
      </c>
    </row>
    <row r="26" ht="17" customHeight="1" s="486">
      <c r="A26" s="258" t="inlineStr">
        <is>
          <t>2.4.5</t>
        </is>
      </c>
      <c r="B26" s="238" t="inlineStr">
        <is>
          <t>Depreciation</t>
        </is>
      </c>
      <c r="C26" s="45" t="n"/>
      <c r="D26" s="45" t="n"/>
      <c r="E26" s="45" t="n"/>
      <c r="F26" s="45" t="n"/>
      <c r="G26" s="45" t="n"/>
      <c r="H26" s="45" t="n"/>
      <c r="I26" s="139">
        <f>SUM(C26:H26)</f>
        <v/>
      </c>
    </row>
    <row r="27" ht="17" customHeight="1" s="486">
      <c r="A27" s="258" t="inlineStr">
        <is>
          <t>2.4.6</t>
        </is>
      </c>
      <c r="B27" s="238" t="inlineStr">
        <is>
          <t>Other Overheads</t>
        </is>
      </c>
      <c r="C27" s="45" t="n"/>
      <c r="D27" s="45" t="n"/>
      <c r="E27" s="45" t="n"/>
      <c r="F27" s="45" t="n"/>
      <c r="G27" s="45" t="n"/>
      <c r="H27" s="45" t="n"/>
      <c r="I27" s="139">
        <f>SUM(C27:H27)</f>
        <v/>
      </c>
    </row>
    <row r="28">
      <c r="A28" s="512" t="n"/>
      <c r="B28" s="491" t="n"/>
      <c r="C28" s="491" t="n"/>
      <c r="D28" s="491" t="n"/>
      <c r="E28" s="491" t="n"/>
      <c r="F28" s="491" t="n"/>
      <c r="G28" s="491" t="n"/>
      <c r="H28" s="491" t="n"/>
      <c r="I28" s="481" t="n"/>
    </row>
    <row r="29" ht="17" customFormat="1" customHeight="1" s="177">
      <c r="A29" s="307" t="n">
        <v>2.5</v>
      </c>
      <c r="B29" s="308" t="inlineStr">
        <is>
          <t>Closing Stock (2.5.1+2.5.2+2.5.3)</t>
        </is>
      </c>
      <c r="C29" s="139">
        <f>SUM(C30:C32)</f>
        <v/>
      </c>
      <c r="D29" s="139">
        <f>SUM(D30:D32)</f>
        <v/>
      </c>
      <c r="E29" s="139">
        <f>SUM(E30:E32)</f>
        <v/>
      </c>
      <c r="F29" s="139">
        <f>SUM(F30:F32)</f>
        <v/>
      </c>
      <c r="G29" s="139">
        <f>SUM(G30:G32)</f>
        <v/>
      </c>
      <c r="H29" s="139">
        <f>SUM(H30:H32)</f>
        <v/>
      </c>
      <c r="I29" s="139">
        <f>SUM(C29:H29)</f>
        <v/>
      </c>
      <c r="J29" s="182" t="n"/>
    </row>
    <row r="30" ht="17" customHeight="1" s="486">
      <c r="A30" s="258" t="inlineStr">
        <is>
          <t>2.5.1</t>
        </is>
      </c>
      <c r="B30" s="238" t="inlineStr">
        <is>
          <t xml:space="preserve">Raw Materials </t>
        </is>
      </c>
      <c r="C30" s="45" t="n"/>
      <c r="D30" s="45" t="n"/>
      <c r="E30" s="45" t="n"/>
      <c r="F30" s="45" t="n"/>
      <c r="G30" s="45" t="n"/>
      <c r="H30" s="45" t="n"/>
      <c r="I30" s="139">
        <f>SUM(C30:H30)</f>
        <v/>
      </c>
    </row>
    <row r="31" ht="17" customHeight="1" s="486">
      <c r="A31" s="258" t="inlineStr">
        <is>
          <t>2.5.2</t>
        </is>
      </c>
      <c r="B31" s="238" t="inlineStr">
        <is>
          <t xml:space="preserve">Work in Progress </t>
        </is>
      </c>
      <c r="C31" s="45" t="n"/>
      <c r="D31" s="45" t="n"/>
      <c r="E31" s="45" t="n"/>
      <c r="F31" s="45" t="n"/>
      <c r="G31" s="45" t="n"/>
      <c r="H31" s="45" t="n"/>
      <c r="I31" s="139">
        <f>SUM(C31:H31)</f>
        <v/>
      </c>
    </row>
    <row r="32" ht="17" customHeight="1" s="486">
      <c r="A32" s="258" t="inlineStr">
        <is>
          <t>2.5.3</t>
        </is>
      </c>
      <c r="B32" s="238" t="inlineStr">
        <is>
          <t>Trading / Manufactured Goods  (Finished Goods)</t>
        </is>
      </c>
      <c r="C32" s="45" t="n"/>
      <c r="D32" s="45" t="n"/>
      <c r="E32" s="45" t="n"/>
      <c r="F32" s="45" t="n"/>
      <c r="G32" s="45" t="n"/>
      <c r="H32" s="45" t="n"/>
      <c r="I32" s="139">
        <f>SUM(C32:H32)</f>
        <v/>
      </c>
    </row>
    <row r="33">
      <c r="A33" s="512" t="n"/>
      <c r="B33" s="491" t="n"/>
      <c r="C33" s="491" t="n"/>
      <c r="D33" s="491" t="n"/>
      <c r="E33" s="491" t="n"/>
      <c r="F33" s="491" t="n"/>
      <c r="G33" s="491" t="n"/>
      <c r="H33" s="491" t="n"/>
      <c r="I33" s="481" t="n"/>
    </row>
    <row r="34" ht="17" customFormat="1" customHeight="1" s="177">
      <c r="A34" s="307" t="n">
        <v>3</v>
      </c>
      <c r="B34" s="308" t="inlineStr">
        <is>
          <t>Gross Profit / Surplus (1-2)</t>
        </is>
      </c>
      <c r="C34" s="139">
        <f>ROUND(C3,2)-ROUND(C7,2)</f>
        <v/>
      </c>
      <c r="D34" s="139">
        <f>ROUND(D3,2)-ROUND(D7,2)</f>
        <v/>
      </c>
      <c r="E34" s="139">
        <f>ROUND(E3,2)-ROUND(E7,2)</f>
        <v/>
      </c>
      <c r="F34" s="139">
        <f>ROUND(F3,2)-ROUND(F7,2)</f>
        <v/>
      </c>
      <c r="G34" s="139">
        <f>ROUND(G3,2)-ROUND(G7,2)</f>
        <v/>
      </c>
      <c r="H34" s="139">
        <f>ROUND(H3,2)-ROUND(H7,2)</f>
        <v/>
      </c>
      <c r="I34" s="139">
        <f>SUM(C34:H34)</f>
        <v/>
      </c>
      <c r="J34" s="182" t="n"/>
    </row>
    <row r="35" customFormat="1" s="177">
      <c r="A35" s="512" t="n"/>
      <c r="B35" s="491" t="n"/>
      <c r="C35" s="491" t="n"/>
      <c r="D35" s="491" t="n"/>
      <c r="E35" s="491" t="n"/>
      <c r="F35" s="491" t="n"/>
      <c r="G35" s="491" t="n"/>
      <c r="H35" s="491" t="n"/>
      <c r="I35" s="481" t="n"/>
      <c r="J35" s="182" t="n"/>
    </row>
    <row r="36" ht="17" customFormat="1" customHeight="1" s="177">
      <c r="A36" s="307" t="n">
        <v>4</v>
      </c>
      <c r="B36" s="308" t="inlineStr">
        <is>
          <t>Other Income (4.1+4.2+4.3+4.4+4.5+4.6+4.7+4.8+4.9+4.10+4.11)</t>
        </is>
      </c>
      <c r="C36" s="139">
        <f>SUM(C37:C47)</f>
        <v/>
      </c>
      <c r="D36" s="139">
        <f>SUM(D37:D47)</f>
        <v/>
      </c>
      <c r="E36" s="139">
        <f>SUM(E37:E47)</f>
        <v/>
      </c>
      <c r="F36" s="139">
        <f>SUM(F37:F47)</f>
        <v/>
      </c>
      <c r="G36" s="139">
        <f>SUM(G37:G47)</f>
        <v/>
      </c>
      <c r="H36" s="139">
        <f>SUM(H37:H47)</f>
        <v/>
      </c>
      <c r="I36" s="139">
        <f>SUM(C36:H36)</f>
        <v/>
      </c>
      <c r="J36" s="182" t="n"/>
    </row>
    <row r="37" ht="17" customHeight="1" s="486">
      <c r="A37" s="258" t="n">
        <v>4.1</v>
      </c>
      <c r="B37" s="238" t="inlineStr">
        <is>
          <t xml:space="preserve">Dividend </t>
        </is>
      </c>
      <c r="C37" s="45" t="n"/>
      <c r="D37" s="45" t="n"/>
      <c r="E37" s="45" t="n"/>
      <c r="F37" s="45" t="n"/>
      <c r="G37" s="45" t="n"/>
      <c r="H37" s="45" t="n"/>
      <c r="I37" s="139">
        <f>SUM(C37:H37)</f>
        <v/>
      </c>
    </row>
    <row r="38" ht="17" customHeight="1" s="486">
      <c r="A38" s="258" t="n">
        <v>4.2</v>
      </c>
      <c r="B38" s="238" t="inlineStr">
        <is>
          <t>Annuity</t>
        </is>
      </c>
      <c r="C38" s="45" t="n"/>
      <c r="D38" s="45" t="n"/>
      <c r="E38" s="45" t="n"/>
      <c r="F38" s="45" t="n"/>
      <c r="G38" s="45" t="n"/>
      <c r="H38" s="45" t="n"/>
      <c r="I38" s="139">
        <f>SUM(C38:H38)</f>
        <v/>
      </c>
    </row>
    <row r="39" ht="17" customHeight="1" s="486">
      <c r="A39" s="258" t="n">
        <v>4.3</v>
      </c>
      <c r="B39" s="196" t="inlineStr">
        <is>
          <t>Natural Resource Receipts</t>
        </is>
      </c>
      <c r="C39" s="45" t="n"/>
      <c r="D39" s="45" t="n"/>
      <c r="E39" s="45" t="n"/>
      <c r="F39" s="45" t="n"/>
      <c r="G39" s="45" t="n"/>
      <c r="H39" s="45" t="n"/>
      <c r="I39" s="139">
        <f>SUM(C39:H39)</f>
        <v/>
      </c>
    </row>
    <row r="40" ht="17" customHeight="1" s="486">
      <c r="A40" s="258" t="n">
        <v>4.4</v>
      </c>
      <c r="B40" s="238" t="inlineStr">
        <is>
          <t xml:space="preserve">Royalties </t>
        </is>
      </c>
      <c r="C40" s="45" t="n"/>
      <c r="D40" s="45" t="n"/>
      <c r="E40" s="45" t="n"/>
      <c r="F40" s="45" t="n"/>
      <c r="G40" s="45" t="n"/>
      <c r="H40" s="45" t="n"/>
      <c r="I40" s="139">
        <f>SUM(C40:H40)</f>
        <v/>
      </c>
    </row>
    <row r="41" ht="17" customHeight="1" s="486">
      <c r="A41" s="258" t="n">
        <v>4.5</v>
      </c>
      <c r="B41" s="238" t="inlineStr">
        <is>
          <t>Gifts in connection with the use or exploitation of property</t>
        </is>
      </c>
      <c r="C41" s="45" t="n"/>
      <c r="D41" s="45" t="n"/>
      <c r="E41" s="45" t="n"/>
      <c r="F41" s="45" t="n"/>
      <c r="G41" s="45" t="n"/>
      <c r="H41" s="45" t="n"/>
      <c r="I41" s="139">
        <f>SUM(C41:H41)</f>
        <v/>
      </c>
    </row>
    <row r="42" ht="17" customHeight="1" s="486">
      <c r="A42" s="258" t="n">
        <v>4.6</v>
      </c>
      <c r="B42" s="238" t="inlineStr">
        <is>
          <t xml:space="preserve">Profit / Surplus on Disposal of Assets </t>
        </is>
      </c>
      <c r="C42" s="45" t="n"/>
      <c r="D42" s="45" t="n"/>
      <c r="E42" s="45" t="n"/>
      <c r="F42" s="45" t="n"/>
      <c r="G42" s="45" t="n"/>
      <c r="H42" s="45" t="n"/>
      <c r="I42" s="139">
        <f>SUM(C42:H42)</f>
        <v/>
      </c>
    </row>
    <row r="43" ht="17" customHeight="1" s="486">
      <c r="A43" s="258" t="n">
        <v>4.7</v>
      </c>
      <c r="B43" s="238" t="inlineStr">
        <is>
          <t>Realized Exchange Gain</t>
        </is>
      </c>
      <c r="C43" s="45" t="n"/>
      <c r="D43" s="45" t="n"/>
      <c r="E43" s="45" t="n"/>
      <c r="F43" s="45" t="n"/>
      <c r="G43" s="45" t="n"/>
      <c r="H43" s="45" t="n"/>
      <c r="I43" s="139">
        <f>SUM(C43:H43)</f>
        <v/>
      </c>
    </row>
    <row r="44" ht="17" customHeight="1" s="486">
      <c r="A44" s="258" t="n">
        <v>4.8</v>
      </c>
      <c r="B44" s="238" t="inlineStr">
        <is>
          <t>Unrealized Exchange Gain</t>
        </is>
      </c>
      <c r="C44" s="45" t="n"/>
      <c r="D44" s="45" t="n"/>
      <c r="E44" s="45" t="n"/>
      <c r="F44" s="45" t="n"/>
      <c r="G44" s="45" t="n"/>
      <c r="H44" s="45" t="n"/>
      <c r="I44" s="139">
        <f>SUM(C44:H44)</f>
        <v/>
      </c>
    </row>
    <row r="45" ht="17" customHeight="1" s="486">
      <c r="A45" s="258" t="n">
        <v>4.9</v>
      </c>
      <c r="B45" s="238" t="inlineStr">
        <is>
          <t>Bad Debts Recovered</t>
        </is>
      </c>
      <c r="C45" s="45" t="n"/>
      <c r="D45" s="45" t="n"/>
      <c r="E45" s="45" t="n"/>
      <c r="F45" s="45" t="n"/>
      <c r="G45" s="45" t="n"/>
      <c r="H45" s="45" t="n"/>
      <c r="I45" s="139">
        <f>SUM(C45:H45)</f>
        <v/>
      </c>
    </row>
    <row r="46" ht="17" customHeight="1" s="486">
      <c r="A46" s="259" t="inlineStr">
        <is>
          <t>4.10</t>
        </is>
      </c>
      <c r="B46" s="238" t="inlineStr">
        <is>
          <t>Insurance Compensation</t>
        </is>
      </c>
      <c r="C46" s="45" t="n"/>
      <c r="D46" s="45" t="n"/>
      <c r="E46" s="45" t="n"/>
      <c r="F46" s="45" t="n"/>
      <c r="G46" s="45" t="n"/>
      <c r="H46" s="45" t="n"/>
      <c r="I46" s="139">
        <f>SUM(C46:H46)</f>
        <v/>
      </c>
    </row>
    <row r="47" ht="17" customHeight="1" s="486">
      <c r="A47" s="259" t="inlineStr">
        <is>
          <t>4.11</t>
        </is>
      </c>
      <c r="B47" s="238" t="inlineStr">
        <is>
          <t>Other Income  (Part II Total of "Total of Other Income")</t>
        </is>
      </c>
      <c r="C47" s="139">
        <f>PLA.OIBussS</f>
        <v/>
      </c>
      <c r="D47" s="139">
        <f>PLA.OIFarmS</f>
        <v/>
      </c>
      <c r="E47" s="139">
        <f>PLA.OIRentS</f>
        <v/>
      </c>
      <c r="F47" s="139">
        <f>PLA.OIIntS</f>
        <v/>
      </c>
      <c r="G47" s="139">
        <f>PLA.OICommS</f>
        <v/>
      </c>
      <c r="H47" s="139">
        <f>PLA.OIOthS</f>
        <v/>
      </c>
      <c r="I47" s="139">
        <f>SUM(C47:H47)</f>
        <v/>
      </c>
    </row>
    <row r="48">
      <c r="A48" s="512" t="n"/>
      <c r="B48" s="491" t="n"/>
      <c r="C48" s="491" t="n"/>
      <c r="D48" s="491" t="n"/>
      <c r="E48" s="491" t="n"/>
      <c r="F48" s="491" t="n"/>
      <c r="G48" s="491" t="n"/>
      <c r="H48" s="491" t="n"/>
      <c r="I48" s="481" t="n"/>
    </row>
    <row r="49" ht="17" customFormat="1" customHeight="1" s="177">
      <c r="A49" s="307" t="n">
        <v>5</v>
      </c>
      <c r="B49" s="308" t="inlineStr">
        <is>
          <t>Operating Expenses (5.1 to 5.28)</t>
        </is>
      </c>
      <c r="C49" s="139">
        <f>SUM(C50:C77)</f>
        <v/>
      </c>
      <c r="D49" s="139">
        <f>SUM(D50:D77)</f>
        <v/>
      </c>
      <c r="E49" s="139">
        <f>SUM(E50:E77)</f>
        <v/>
      </c>
      <c r="F49" s="139">
        <f>SUM(F50:F77)</f>
        <v/>
      </c>
      <c r="G49" s="139">
        <f>SUM(G50:G77)</f>
        <v/>
      </c>
      <c r="H49" s="139">
        <f>SUM(H50:H77)</f>
        <v/>
      </c>
      <c r="I49" s="139">
        <f>SUM(C49:H49)</f>
        <v/>
      </c>
      <c r="J49" s="182" t="n"/>
    </row>
    <row r="50" ht="17" customHeight="1" s="486">
      <c r="A50" s="258" t="n">
        <v>5.1</v>
      </c>
      <c r="B50" s="238" t="inlineStr">
        <is>
          <t xml:space="preserve">Advertisement </t>
        </is>
      </c>
      <c r="C50" s="45" t="n"/>
      <c r="D50" s="45" t="n"/>
      <c r="E50" s="45" t="n"/>
      <c r="F50" s="45" t="n"/>
      <c r="G50" s="45" t="n"/>
      <c r="H50" s="45" t="n"/>
      <c r="I50" s="139">
        <f>SUM(C50:H50)</f>
        <v/>
      </c>
    </row>
    <row r="51" ht="17" customHeight="1" s="486">
      <c r="A51" s="258" t="n">
        <v>5.2</v>
      </c>
      <c r="B51" s="238" t="inlineStr">
        <is>
          <t>Audit Expenses</t>
        </is>
      </c>
      <c r="C51" s="45" t="n"/>
      <c r="D51" s="45" t="n"/>
      <c r="E51" s="45" t="n"/>
      <c r="F51" s="45" t="n"/>
      <c r="G51" s="45" t="n"/>
      <c r="H51" s="45" t="n"/>
      <c r="I51" s="139">
        <f>SUM(C51:H51)</f>
        <v/>
      </c>
    </row>
    <row r="52" ht="17" customHeight="1" s="486">
      <c r="A52" s="258" t="n">
        <v>5.3</v>
      </c>
      <c r="B52" s="238" t="inlineStr">
        <is>
          <t>Bad Debts Written Off</t>
        </is>
      </c>
      <c r="C52" s="45" t="n"/>
      <c r="D52" s="45" t="n"/>
      <c r="E52" s="45" t="n"/>
      <c r="F52" s="45" t="n"/>
      <c r="G52" s="45" t="n"/>
      <c r="H52" s="45" t="n"/>
      <c r="I52" s="139">
        <f>SUM(C52:H52)</f>
        <v/>
      </c>
    </row>
    <row r="53" ht="17" customHeight="1" s="486">
      <c r="A53" s="258" t="n">
        <v>5.4</v>
      </c>
      <c r="B53" s="238" t="inlineStr">
        <is>
          <t xml:space="preserve">Commission </t>
        </is>
      </c>
      <c r="C53" s="45" t="n"/>
      <c r="D53" s="45" t="n"/>
      <c r="E53" s="45" t="n"/>
      <c r="F53" s="45" t="n"/>
      <c r="G53" s="45" t="n"/>
      <c r="H53" s="45" t="n"/>
      <c r="I53" s="139">
        <f>SUM(C53:H53)</f>
        <v/>
      </c>
    </row>
    <row r="54" ht="17" customHeight="1" s="486">
      <c r="A54" s="258" t="n">
        <v>5.5</v>
      </c>
      <c r="B54" s="238" t="inlineStr">
        <is>
          <t>Computer Expenses</t>
        </is>
      </c>
      <c r="C54" s="45" t="n"/>
      <c r="D54" s="45" t="n"/>
      <c r="E54" s="45" t="n"/>
      <c r="F54" s="45" t="n"/>
      <c r="G54" s="45" t="n"/>
      <c r="H54" s="45" t="n"/>
      <c r="I54" s="139">
        <f>SUM(C54:H54)</f>
        <v/>
      </c>
    </row>
    <row r="55" ht="17" customHeight="1" s="486">
      <c r="A55" s="258" t="n">
        <v>5.6</v>
      </c>
      <c r="B55" s="238" t="inlineStr">
        <is>
          <t>Consumption of Stores and Spare Parts</t>
        </is>
      </c>
      <c r="C55" s="45" t="n"/>
      <c r="D55" s="45" t="n"/>
      <c r="E55" s="45" t="n"/>
      <c r="F55" s="45" t="n"/>
      <c r="G55" s="45" t="n"/>
      <c r="H55" s="45" t="n"/>
      <c r="I55" s="139">
        <f>SUM(C55:H55)</f>
        <v/>
      </c>
    </row>
    <row r="56" ht="17" customHeight="1" s="486">
      <c r="A56" s="258" t="n">
        <v>5.7</v>
      </c>
      <c r="B56" s="238" t="inlineStr">
        <is>
          <t>Conveyance Expenses</t>
        </is>
      </c>
      <c r="C56" s="45" t="n"/>
      <c r="D56" s="45" t="n"/>
      <c r="E56" s="45" t="n"/>
      <c r="F56" s="45" t="n"/>
      <c r="G56" s="45" t="n"/>
      <c r="H56" s="45" t="n"/>
      <c r="I56" s="139">
        <f>SUM(C56:H56)</f>
        <v/>
      </c>
    </row>
    <row r="57" ht="17" customHeight="1" s="486">
      <c r="A57" s="258" t="n">
        <v>5.8</v>
      </c>
      <c r="B57" s="238" t="inlineStr">
        <is>
          <t>Donations</t>
        </is>
      </c>
      <c r="C57" s="45" t="n"/>
      <c r="D57" s="45" t="n"/>
      <c r="E57" s="45" t="n"/>
      <c r="F57" s="45" t="n"/>
      <c r="G57" s="45" t="n"/>
      <c r="H57" s="45" t="n"/>
      <c r="I57" s="139">
        <f>SUM(C57:H57)</f>
        <v/>
      </c>
    </row>
    <row r="58" ht="17" customHeight="1" s="486">
      <c r="A58" s="258" t="n">
        <v>5.9</v>
      </c>
      <c r="B58" s="238" t="inlineStr">
        <is>
          <t>Entertainment</t>
        </is>
      </c>
      <c r="C58" s="45" t="n"/>
      <c r="D58" s="45" t="n"/>
      <c r="E58" s="45" t="n"/>
      <c r="F58" s="45" t="n"/>
      <c r="G58" s="45" t="n"/>
      <c r="H58" s="45" t="n"/>
      <c r="I58" s="139">
        <f>SUM(C58:H58)</f>
        <v/>
      </c>
    </row>
    <row r="59" ht="17" customHeight="1" s="486">
      <c r="A59" s="259" t="inlineStr">
        <is>
          <t>5.10</t>
        </is>
      </c>
      <c r="B59" s="238" t="inlineStr">
        <is>
          <t xml:space="preserve">Freight and Transport </t>
        </is>
      </c>
      <c r="C59" s="45" t="n"/>
      <c r="D59" s="45" t="n"/>
      <c r="E59" s="45" t="n"/>
      <c r="F59" s="45" t="n"/>
      <c r="G59" s="45" t="n"/>
      <c r="H59" s="45" t="n"/>
      <c r="I59" s="139">
        <f>SUM(C59:H59)</f>
        <v/>
      </c>
    </row>
    <row r="60" ht="17" customHeight="1" s="486">
      <c r="A60" s="258" t="n">
        <v>5.11</v>
      </c>
      <c r="B60" s="238" t="inlineStr">
        <is>
          <t>Gifts</t>
        </is>
      </c>
      <c r="C60" s="45" t="n"/>
      <c r="D60" s="45" t="n"/>
      <c r="E60" s="45" t="n"/>
      <c r="F60" s="45" t="n"/>
      <c r="G60" s="45" t="n"/>
      <c r="H60" s="45" t="n"/>
      <c r="I60" s="139">
        <f>SUM(C60:H60)</f>
        <v/>
      </c>
    </row>
    <row r="61" ht="17" customHeight="1" s="486">
      <c r="A61" s="258" t="n">
        <v>5.12</v>
      </c>
      <c r="B61" s="238" t="inlineStr">
        <is>
          <t>Hotel, Boarding and Lodging Expenses</t>
        </is>
      </c>
      <c r="C61" s="45" t="n"/>
      <c r="D61" s="45" t="n"/>
      <c r="E61" s="45" t="n"/>
      <c r="F61" s="45" t="n"/>
      <c r="G61" s="45" t="n"/>
      <c r="H61" s="45" t="n"/>
      <c r="I61" s="139">
        <f>SUM(C61:H61)</f>
        <v/>
      </c>
    </row>
    <row r="62" ht="17" customHeight="1" s="486">
      <c r="A62" s="258" t="n">
        <v>5.13</v>
      </c>
      <c r="B62" s="238" t="inlineStr">
        <is>
          <t>Legal Expenses</t>
        </is>
      </c>
      <c r="C62" s="45" t="n"/>
      <c r="D62" s="45" t="n"/>
      <c r="E62" s="45" t="n"/>
      <c r="F62" s="45" t="n"/>
      <c r="G62" s="45" t="n"/>
      <c r="H62" s="45" t="n"/>
      <c r="I62" s="139">
        <f>SUM(C62:H62)</f>
        <v/>
      </c>
    </row>
    <row r="63" ht="17" customHeight="1" s="486">
      <c r="A63" s="258" t="n">
        <v>5.14</v>
      </c>
      <c r="B63" s="238" t="inlineStr">
        <is>
          <t>Power and Fuel</t>
        </is>
      </c>
      <c r="C63" s="45" t="n"/>
      <c r="D63" s="45" t="n"/>
      <c r="E63" s="45" t="n"/>
      <c r="F63" s="45" t="n"/>
      <c r="G63" s="45" t="n"/>
      <c r="H63" s="45" t="n"/>
      <c r="I63" s="139">
        <f>SUM(C63:H63)</f>
        <v/>
      </c>
    </row>
    <row r="64" ht="17" customHeight="1" s="486">
      <c r="A64" s="258" t="n">
        <v>5.15</v>
      </c>
      <c r="B64" s="238" t="inlineStr">
        <is>
          <t>Provision for Bad and Doubtful Debts</t>
        </is>
      </c>
      <c r="C64" s="45" t="n"/>
      <c r="D64" s="45" t="n"/>
      <c r="E64" s="45" t="n"/>
      <c r="F64" s="45" t="n"/>
      <c r="G64" s="45" t="n"/>
      <c r="H64" s="45" t="n"/>
      <c r="I64" s="139">
        <f>SUM(C64:H64)</f>
        <v/>
      </c>
    </row>
    <row r="65" ht="17" customHeight="1" s="486">
      <c r="A65" s="258" t="n">
        <v>5.16</v>
      </c>
      <c r="B65" s="238" t="inlineStr">
        <is>
          <t>Rent Expenses for Premises</t>
        </is>
      </c>
      <c r="C65" s="45" t="n"/>
      <c r="D65" s="45" t="n"/>
      <c r="E65" s="45" t="n"/>
      <c r="F65" s="45" t="n"/>
      <c r="G65" s="45" t="n"/>
      <c r="H65" s="45" t="n"/>
      <c r="I65" s="139">
        <f>SUM(C65:H65)</f>
        <v/>
      </c>
    </row>
    <row r="66" ht="17" customHeight="1" s="486">
      <c r="A66" s="258" t="n">
        <v>5.17</v>
      </c>
      <c r="B66" s="238" t="inlineStr">
        <is>
          <t>Repairs of Building</t>
        </is>
      </c>
      <c r="C66" s="45" t="n"/>
      <c r="D66" s="45" t="n"/>
      <c r="E66" s="45" t="n"/>
      <c r="F66" s="45" t="n"/>
      <c r="G66" s="45" t="n"/>
      <c r="H66" s="45" t="n"/>
      <c r="I66" s="139">
        <f>SUM(C66:H66)</f>
        <v/>
      </c>
    </row>
    <row r="67" ht="17" customHeight="1" s="486">
      <c r="A67" s="258" t="n">
        <v>5.18</v>
      </c>
      <c r="B67" s="238" t="inlineStr">
        <is>
          <t>Repairs of Machinery</t>
        </is>
      </c>
      <c r="C67" s="45" t="n"/>
      <c r="D67" s="45" t="n"/>
      <c r="E67" s="45" t="n"/>
      <c r="F67" s="45" t="n"/>
      <c r="G67" s="45" t="n"/>
      <c r="H67" s="45" t="n"/>
      <c r="I67" s="139">
        <f>SUM(C67:H67)</f>
        <v/>
      </c>
    </row>
    <row r="68" ht="17" customHeight="1" s="486">
      <c r="A68" s="258" t="n">
        <v>5.19</v>
      </c>
      <c r="B68" s="238" t="inlineStr">
        <is>
          <t>Sales Promotion including Publicity (other than Advertisement)</t>
        </is>
      </c>
      <c r="C68" s="45" t="n"/>
      <c r="D68" s="45" t="n"/>
      <c r="E68" s="45" t="n"/>
      <c r="F68" s="45" t="n"/>
      <c r="G68" s="45" t="n"/>
      <c r="H68" s="45" t="n"/>
      <c r="I68" s="139">
        <f>SUM(C68:H68)</f>
        <v/>
      </c>
    </row>
    <row r="69" ht="17" customHeight="1" s="486">
      <c r="A69" s="259" t="inlineStr">
        <is>
          <t>5.20</t>
        </is>
      </c>
      <c r="B69" s="238" t="inlineStr">
        <is>
          <t>Staff Welfare Expenses</t>
        </is>
      </c>
      <c r="C69" s="45" t="n"/>
      <c r="D69" s="45" t="n"/>
      <c r="E69" s="45" t="n"/>
      <c r="F69" s="45" t="n"/>
      <c r="G69" s="45" t="n"/>
      <c r="H69" s="45" t="n"/>
      <c r="I69" s="139">
        <f>SUM(C69:H69)</f>
        <v/>
      </c>
    </row>
    <row r="70" ht="17" customHeight="1" s="486">
      <c r="A70" s="258" t="n">
        <v>5.21</v>
      </c>
      <c r="B70" s="238" t="inlineStr">
        <is>
          <t>Start up cost / Pre - Operating Expenses</t>
        </is>
      </c>
      <c r="C70" s="45" t="n"/>
      <c r="D70" s="45" t="n"/>
      <c r="E70" s="45" t="n"/>
      <c r="F70" s="45" t="n"/>
      <c r="G70" s="45" t="n"/>
      <c r="H70" s="45" t="n"/>
      <c r="I70" s="139">
        <f>SUM(C70:H70)</f>
        <v/>
      </c>
    </row>
    <row r="71" ht="17" customHeight="1" s="486">
      <c r="A71" s="258" t="n">
        <v>5.22</v>
      </c>
      <c r="B71" s="238" t="inlineStr">
        <is>
          <t>Stationery &amp; Printing</t>
        </is>
      </c>
      <c r="C71" s="45" t="n"/>
      <c r="D71" s="45" t="n"/>
      <c r="E71" s="45" t="n"/>
      <c r="F71" s="45" t="n"/>
      <c r="G71" s="45" t="n"/>
      <c r="H71" s="45" t="n"/>
      <c r="I71" s="139">
        <f>SUM(C71:H71)</f>
        <v/>
      </c>
    </row>
    <row r="72" ht="17" customHeight="1" s="486">
      <c r="A72" s="258" t="n">
        <v>5.23</v>
      </c>
      <c r="B72" s="238" t="inlineStr">
        <is>
          <t>Subsistence Allowance</t>
        </is>
      </c>
      <c r="C72" s="45" t="n"/>
      <c r="D72" s="45" t="n"/>
      <c r="E72" s="45" t="n"/>
      <c r="F72" s="45" t="n"/>
      <c r="G72" s="45" t="n"/>
      <c r="H72" s="45" t="n"/>
      <c r="I72" s="139">
        <f>SUM(C72:H72)</f>
        <v/>
      </c>
    </row>
    <row r="73" ht="17" customHeight="1" s="486">
      <c r="A73" s="258" t="n">
        <v>5.24</v>
      </c>
      <c r="B73" s="238" t="inlineStr">
        <is>
          <t>Telephone Expenses</t>
        </is>
      </c>
      <c r="C73" s="45" t="n"/>
      <c r="D73" s="45" t="n"/>
      <c r="E73" s="45" t="n"/>
      <c r="F73" s="45" t="n"/>
      <c r="G73" s="45" t="n"/>
      <c r="H73" s="45" t="n"/>
      <c r="I73" s="139">
        <f>SUM(C73:H73)</f>
        <v/>
      </c>
    </row>
    <row r="74" ht="17" customHeight="1" s="486">
      <c r="A74" s="258" t="n">
        <v>5.25</v>
      </c>
      <c r="B74" s="238" t="inlineStr">
        <is>
          <t>Training Expenditure</t>
        </is>
      </c>
      <c r="C74" s="45" t="n"/>
      <c r="D74" s="45" t="n"/>
      <c r="E74" s="45" t="n"/>
      <c r="F74" s="45" t="n"/>
      <c r="G74" s="45" t="n"/>
      <c r="H74" s="45" t="n"/>
      <c r="I74" s="139">
        <f>SUM(C74:H74)</f>
        <v/>
      </c>
    </row>
    <row r="75" ht="17" customHeight="1" s="486">
      <c r="A75" s="258" t="n">
        <v>5.26</v>
      </c>
      <c r="B75" s="238" t="inlineStr">
        <is>
          <t xml:space="preserve">Travelling Expenses including Foreign Travelling </t>
        </is>
      </c>
      <c r="C75" s="45" t="n"/>
      <c r="D75" s="45" t="n"/>
      <c r="E75" s="45" t="n"/>
      <c r="F75" s="45" t="n"/>
      <c r="G75" s="45" t="n"/>
      <c r="H75" s="45" t="n"/>
      <c r="I75" s="139">
        <f>SUM(C75:H75)</f>
        <v/>
      </c>
    </row>
    <row r="76" ht="17" customHeight="1" s="486">
      <c r="A76" s="258" t="n">
        <v>5.27</v>
      </c>
      <c r="B76" s="238" t="inlineStr">
        <is>
          <t>Work Shop - Conference Expenses</t>
        </is>
      </c>
      <c r="C76" s="45" t="n"/>
      <c r="D76" s="45" t="n"/>
      <c r="E76" s="45" t="n"/>
      <c r="F76" s="45" t="n"/>
      <c r="G76" s="45" t="n"/>
      <c r="H76" s="45" t="n"/>
      <c r="I76" s="139">
        <f>SUM(C76:H76)</f>
        <v/>
      </c>
    </row>
    <row r="77" ht="17" customHeight="1" s="486">
      <c r="A77" s="258" t="n">
        <v>5.28</v>
      </c>
      <c r="B77" s="238" t="inlineStr">
        <is>
          <t>Livestock, game and produce bought or received in exchange</t>
        </is>
      </c>
      <c r="C77" s="139">
        <f>defaultZero</f>
        <v/>
      </c>
      <c r="D77" s="45" t="n"/>
      <c r="E77" s="139">
        <f>defaultZero</f>
        <v/>
      </c>
      <c r="F77" s="139">
        <f>defaultZero</f>
        <v/>
      </c>
      <c r="G77" s="139">
        <f>defaultZero</f>
        <v/>
      </c>
      <c r="H77" s="139">
        <f>defaultZero</f>
        <v/>
      </c>
      <c r="I77" s="139">
        <f>SUM(C77:H77)</f>
        <v/>
      </c>
    </row>
    <row r="78">
      <c r="A78" s="512" t="n"/>
      <c r="B78" s="491" t="n"/>
      <c r="C78" s="491" t="n"/>
      <c r="D78" s="491" t="n"/>
      <c r="E78" s="491" t="n"/>
      <c r="F78" s="491" t="n"/>
      <c r="G78" s="491" t="n"/>
      <c r="H78" s="491" t="n"/>
      <c r="I78" s="481" t="n"/>
    </row>
    <row r="79" ht="17" customFormat="1" customHeight="1" s="177">
      <c r="A79" s="307" t="n">
        <v>6</v>
      </c>
      <c r="B79" s="308" t="inlineStr">
        <is>
          <t>Administrative Expenses (6.1+6.2+6.3+6.4+6.5)</t>
        </is>
      </c>
      <c r="C79" s="139">
        <f>SUM(C80:C83)+C85</f>
        <v/>
      </c>
      <c r="D79" s="139">
        <f>SUM(D80:D83)+D85</f>
        <v/>
      </c>
      <c r="E79" s="139">
        <f>SUM(E80:E83)+E85</f>
        <v/>
      </c>
      <c r="F79" s="139">
        <f>SUM(F80:F83)+F85</f>
        <v/>
      </c>
      <c r="G79" s="139">
        <f>SUM(G80:G83)+G85</f>
        <v/>
      </c>
      <c r="H79" s="139">
        <f>SUM(H80:H83)+H85</f>
        <v/>
      </c>
      <c r="I79" s="139">
        <f>SUM(C79:H79)</f>
        <v/>
      </c>
      <c r="J79" s="182" t="n"/>
    </row>
    <row r="80" ht="17" customHeight="1" s="486">
      <c r="A80" s="258" t="n">
        <v>6.1</v>
      </c>
      <c r="B80" s="238" t="inlineStr">
        <is>
          <t>Depreciation</t>
        </is>
      </c>
      <c r="C80" s="45" t="n"/>
      <c r="D80" s="45" t="n"/>
      <c r="E80" s="45" t="n"/>
      <c r="F80" s="45" t="n"/>
      <c r="G80" s="45" t="n"/>
      <c r="H80" s="45" t="n"/>
      <c r="I80" s="139">
        <f>SUM(C80:H80)</f>
        <v/>
      </c>
    </row>
    <row r="81" ht="17" customHeight="1" s="486">
      <c r="A81" s="258" t="n">
        <v>6.2</v>
      </c>
      <c r="B81" s="238" t="inlineStr">
        <is>
          <t xml:space="preserve">Loss on Disposal of Assets </t>
        </is>
      </c>
      <c r="C81" s="45" t="n"/>
      <c r="D81" s="45" t="n"/>
      <c r="E81" s="45" t="n"/>
      <c r="F81" s="45" t="n"/>
      <c r="G81" s="45" t="n"/>
      <c r="H81" s="45" t="n"/>
      <c r="I81" s="139">
        <f>SUM(C81:H81)</f>
        <v/>
      </c>
    </row>
    <row r="82" ht="17" customHeight="1" s="486">
      <c r="A82" s="258" t="n">
        <v>6.3</v>
      </c>
      <c r="B82" s="238" t="inlineStr">
        <is>
          <t>Scientific Research Expenses</t>
        </is>
      </c>
      <c r="C82" s="45" t="n"/>
      <c r="D82" s="45" t="n"/>
      <c r="E82" s="45" t="n"/>
      <c r="F82" s="45" t="n"/>
      <c r="G82" s="45" t="n"/>
      <c r="H82" s="45" t="n"/>
      <c r="I82" s="139">
        <f>SUM(C82:H82)</f>
        <v/>
      </c>
    </row>
    <row r="83" ht="17" customHeight="1" s="486">
      <c r="A83" s="258" t="n">
        <v>6.4</v>
      </c>
      <c r="B83" s="238" t="inlineStr">
        <is>
          <t>Management Fees</t>
        </is>
      </c>
      <c r="C83" s="45" t="n"/>
      <c r="D83" s="45" t="n"/>
      <c r="E83" s="45" t="n"/>
      <c r="F83" s="45" t="n"/>
      <c r="G83" s="45" t="n"/>
      <c r="H83" s="45" t="n"/>
      <c r="I83" s="139">
        <f>SUM(C83:H83)</f>
        <v/>
      </c>
    </row>
    <row r="84">
      <c r="A84" s="512" t="n"/>
      <c r="B84" s="491" t="n"/>
      <c r="C84" s="491" t="n"/>
      <c r="D84" s="491" t="n"/>
      <c r="E84" s="491" t="n"/>
      <c r="F84" s="491" t="n"/>
      <c r="G84" s="491" t="n"/>
      <c r="H84" s="491" t="n"/>
      <c r="I84" s="481" t="n"/>
    </row>
    <row r="85" ht="17" customFormat="1" customHeight="1" s="177">
      <c r="A85" s="307" t="n">
        <v>6.5</v>
      </c>
      <c r="B85" s="308" t="inlineStr">
        <is>
          <t>Employment Expenses (6.5.1+6.5.2+6.5.3+6.5.4+6.5.5+6.5.6+6.5.7+6.5.8+6.5.9)</t>
        </is>
      </c>
      <c r="C85" s="139">
        <f>SUM(C86:C94)</f>
        <v/>
      </c>
      <c r="D85" s="139">
        <f>SUM(D86:D94)</f>
        <v/>
      </c>
      <c r="E85" s="139">
        <f>SUM(E86:E94)</f>
        <v/>
      </c>
      <c r="F85" s="139">
        <f>SUM(F86:F94)</f>
        <v/>
      </c>
      <c r="G85" s="139">
        <f>SUM(G86:G94)</f>
        <v/>
      </c>
      <c r="H85" s="139">
        <f>SUM(H86:H94)</f>
        <v/>
      </c>
      <c r="I85" s="139">
        <f>SUM(C85:H85)</f>
        <v/>
      </c>
      <c r="J85" s="182" t="n"/>
    </row>
    <row r="86" ht="17" customHeight="1" s="486">
      <c r="A86" s="258" t="inlineStr">
        <is>
          <t>6.5.1</t>
        </is>
      </c>
      <c r="B86" s="238" t="inlineStr">
        <is>
          <t>Salaries and Wages</t>
        </is>
      </c>
      <c r="C86" s="45" t="n"/>
      <c r="D86" s="45" t="n"/>
      <c r="E86" s="45" t="n"/>
      <c r="F86" s="45" t="n"/>
      <c r="G86" s="45" t="n"/>
      <c r="H86" s="45" t="n"/>
      <c r="I86" s="139">
        <f>SUM(C86:H86)</f>
        <v/>
      </c>
    </row>
    <row r="87" ht="17" customHeight="1" s="486">
      <c r="A87" s="258" t="inlineStr">
        <is>
          <t>6.5.2</t>
        </is>
      </c>
      <c r="B87" s="238" t="inlineStr">
        <is>
          <t>Bonus</t>
        </is>
      </c>
      <c r="C87" s="45" t="n"/>
      <c r="D87" s="45" t="n"/>
      <c r="E87" s="45" t="n"/>
      <c r="F87" s="45" t="n"/>
      <c r="G87" s="45" t="n"/>
      <c r="H87" s="45" t="n"/>
      <c r="I87" s="139">
        <f>SUM(C87:H87)</f>
        <v/>
      </c>
    </row>
    <row r="88" ht="17" customHeight="1" s="486">
      <c r="A88" s="258" t="inlineStr">
        <is>
          <t>6.5.3</t>
        </is>
      </c>
      <c r="B88" s="238" t="inlineStr">
        <is>
          <t>Reimbursement of Medical Expenses</t>
        </is>
      </c>
      <c r="C88" s="45" t="n"/>
      <c r="D88" s="45" t="n"/>
      <c r="E88" s="45" t="n"/>
      <c r="F88" s="45" t="n"/>
      <c r="G88" s="45" t="n"/>
      <c r="H88" s="45" t="n"/>
      <c r="I88" s="139">
        <f>SUM(C88:H88)</f>
        <v/>
      </c>
    </row>
    <row r="89" ht="17" customHeight="1" s="486">
      <c r="A89" s="258" t="inlineStr">
        <is>
          <t>6.5.4</t>
        </is>
      </c>
      <c r="B89" s="238" t="inlineStr">
        <is>
          <t>Leave Encashment</t>
        </is>
      </c>
      <c r="C89" s="45" t="n"/>
      <c r="D89" s="45" t="n"/>
      <c r="E89" s="45" t="n"/>
      <c r="F89" s="45" t="n"/>
      <c r="G89" s="45" t="n"/>
      <c r="H89" s="45" t="n"/>
      <c r="I89" s="139">
        <f>SUM(C89:H89)</f>
        <v/>
      </c>
    </row>
    <row r="90" ht="17" customHeight="1" s="486">
      <c r="A90" s="258" t="inlineStr">
        <is>
          <t>6.5.5</t>
        </is>
      </c>
      <c r="B90" s="238" t="inlineStr">
        <is>
          <t>Leave Travel Benefits</t>
        </is>
      </c>
      <c r="C90" s="45" t="n"/>
      <c r="D90" s="45" t="n"/>
      <c r="E90" s="45" t="n"/>
      <c r="F90" s="45" t="n"/>
      <c r="G90" s="45" t="n"/>
      <c r="H90" s="45" t="n"/>
      <c r="I90" s="139">
        <f>SUM(C90:H90)</f>
        <v/>
      </c>
    </row>
    <row r="91" ht="17" customHeight="1" s="486">
      <c r="A91" s="258" t="inlineStr">
        <is>
          <t>6.5.6</t>
        </is>
      </c>
      <c r="B91" s="238" t="inlineStr">
        <is>
          <t>Rent Expenses for Employees</t>
        </is>
      </c>
      <c r="C91" s="45" t="n"/>
      <c r="D91" s="45" t="n"/>
      <c r="E91" s="45" t="n"/>
      <c r="F91" s="45" t="n"/>
      <c r="G91" s="45" t="n"/>
      <c r="H91" s="45" t="n"/>
      <c r="I91" s="139">
        <f>SUM(C91:H91)</f>
        <v/>
      </c>
    </row>
    <row r="92" ht="17" customHeight="1" s="486">
      <c r="A92" s="258" t="inlineStr">
        <is>
          <t>6.5.7</t>
        </is>
      </c>
      <c r="B92" s="238" t="inlineStr">
        <is>
          <t>Contribution to Retirement Fund</t>
        </is>
      </c>
      <c r="C92" s="45" t="n"/>
      <c r="D92" s="45" t="n"/>
      <c r="E92" s="45" t="n"/>
      <c r="F92" s="45" t="n"/>
      <c r="G92" s="45" t="n"/>
      <c r="H92" s="45" t="n"/>
      <c r="I92" s="139">
        <f>SUM(C92:H92)</f>
        <v/>
      </c>
    </row>
    <row r="93" ht="17" customHeight="1" s="486">
      <c r="A93" s="258" t="inlineStr">
        <is>
          <t>6.5.8</t>
        </is>
      </c>
      <c r="B93" s="238" t="inlineStr">
        <is>
          <t>Contribution to any Other Fund</t>
        </is>
      </c>
      <c r="C93" s="45" t="n"/>
      <c r="D93" s="45" t="n"/>
      <c r="E93" s="45" t="n"/>
      <c r="F93" s="45" t="n"/>
      <c r="G93" s="45" t="n"/>
      <c r="H93" s="45" t="n"/>
      <c r="I93" s="139">
        <f>SUM(C93:H93)</f>
        <v/>
      </c>
    </row>
    <row r="94" ht="17" customHeight="1" s="486">
      <c r="A94" s="258" t="inlineStr">
        <is>
          <t>6.5.9</t>
        </is>
      </c>
      <c r="B94" s="238" t="inlineStr">
        <is>
          <t>Any Other Employment Cost</t>
        </is>
      </c>
      <c r="C94" s="45" t="n"/>
      <c r="D94" s="45" t="n"/>
      <c r="E94" s="45" t="n"/>
      <c r="F94" s="45" t="n"/>
      <c r="G94" s="45" t="n"/>
      <c r="H94" s="45" t="n"/>
      <c r="I94" s="139">
        <f>SUM(C94:H94)</f>
        <v/>
      </c>
    </row>
    <row r="95">
      <c r="A95" s="512" t="n"/>
      <c r="B95" s="491" t="n"/>
      <c r="C95" s="491" t="n"/>
      <c r="D95" s="491" t="n"/>
      <c r="E95" s="491" t="n"/>
      <c r="F95" s="491" t="n"/>
      <c r="G95" s="491" t="n"/>
      <c r="H95" s="491" t="n"/>
      <c r="I95" s="481" t="n"/>
    </row>
    <row r="96" ht="17" customFormat="1" customHeight="1" s="177">
      <c r="A96" s="307" t="n">
        <v>7</v>
      </c>
      <c r="B96" s="308" t="inlineStr">
        <is>
          <t>Financial Expenses (7.1+7.2+7.3+7.4+7.5+7.6)</t>
        </is>
      </c>
      <c r="C96" s="139">
        <f>SUM(C97:C102)</f>
        <v/>
      </c>
      <c r="D96" s="139">
        <f>SUM(D97:D102)</f>
        <v/>
      </c>
      <c r="E96" s="139">
        <f>SUM(E97:E102)</f>
        <v/>
      </c>
      <c r="F96" s="139">
        <f>SUM(F97:F102)</f>
        <v/>
      </c>
      <c r="G96" s="139">
        <f>SUM(G97:G102)</f>
        <v/>
      </c>
      <c r="H96" s="139">
        <f>SUM(H97:H102)</f>
        <v/>
      </c>
      <c r="I96" s="139">
        <f>SUM(C96:H96)</f>
        <v/>
      </c>
      <c r="J96" s="182" t="n"/>
    </row>
    <row r="97" ht="17" customHeight="1" s="486">
      <c r="A97" s="258" t="n">
        <v>7.1</v>
      </c>
      <c r="B97" s="238" t="inlineStr">
        <is>
          <t xml:space="preserve">Interest Expense </t>
        </is>
      </c>
      <c r="C97" s="45" t="n"/>
      <c r="D97" s="45" t="n"/>
      <c r="E97" s="45" t="n"/>
      <c r="F97" s="45" t="n"/>
      <c r="G97" s="45" t="n"/>
      <c r="H97" s="45" t="n"/>
      <c r="I97" s="139">
        <f>SUM(C97:H97)</f>
        <v/>
      </c>
    </row>
    <row r="98" ht="17" customHeight="1" s="486">
      <c r="A98" s="258" t="n">
        <v>7.2</v>
      </c>
      <c r="B98" s="238" t="inlineStr">
        <is>
          <t>Bank Charges</t>
        </is>
      </c>
      <c r="C98" s="45" t="n"/>
      <c r="D98" s="45" t="n"/>
      <c r="E98" s="45" t="n"/>
      <c r="F98" s="45" t="n"/>
      <c r="G98" s="45" t="n"/>
      <c r="H98" s="45" t="n"/>
      <c r="I98" s="139">
        <f>SUM(C98:H98)</f>
        <v/>
      </c>
    </row>
    <row r="99" ht="17" customHeight="1" s="486">
      <c r="A99" s="258" t="n">
        <v>7.3</v>
      </c>
      <c r="B99" s="238" t="inlineStr">
        <is>
          <t>Commitment Fees</t>
        </is>
      </c>
      <c r="C99" s="45" t="n"/>
      <c r="D99" s="45" t="n"/>
      <c r="E99" s="45" t="n"/>
      <c r="F99" s="45" t="n"/>
      <c r="G99" s="45" t="n"/>
      <c r="H99" s="45" t="n"/>
      <c r="I99" s="139">
        <f>SUM(C99:H99)</f>
        <v/>
      </c>
    </row>
    <row r="100" ht="17" customHeight="1" s="486">
      <c r="A100" s="258" t="n">
        <v>7.4</v>
      </c>
      <c r="B100" s="238" t="inlineStr">
        <is>
          <t>Insurance</t>
        </is>
      </c>
      <c r="C100" s="45" t="n"/>
      <c r="D100" s="45" t="n"/>
      <c r="E100" s="45" t="n"/>
      <c r="F100" s="45" t="n"/>
      <c r="G100" s="45" t="n"/>
      <c r="H100" s="45" t="n"/>
      <c r="I100" s="139">
        <f>SUM(C100:H100)</f>
        <v/>
      </c>
    </row>
    <row r="101" ht="17" customHeight="1" s="486">
      <c r="A101" s="258" t="n">
        <v>7.5</v>
      </c>
      <c r="B101" s="238" t="inlineStr">
        <is>
          <t>Realized Exchange Loss</t>
        </is>
      </c>
      <c r="C101" s="45" t="n"/>
      <c r="D101" s="45" t="n"/>
      <c r="E101" s="45" t="n"/>
      <c r="F101" s="45" t="n"/>
      <c r="G101" s="45" t="n"/>
      <c r="H101" s="45" t="n"/>
      <c r="I101" s="139">
        <f>SUM(C101:H101)</f>
        <v/>
      </c>
    </row>
    <row r="102" ht="17" customHeight="1" s="486">
      <c r="A102" s="258" t="n">
        <v>7.6</v>
      </c>
      <c r="B102" s="238" t="inlineStr">
        <is>
          <t>Unrealized Exchange Loss</t>
        </is>
      </c>
      <c r="C102" s="45" t="n"/>
      <c r="D102" s="45" t="n"/>
      <c r="E102" s="45" t="n"/>
      <c r="F102" s="45" t="n"/>
      <c r="G102" s="45" t="n"/>
      <c r="H102" s="45" t="n"/>
      <c r="I102" s="139">
        <f>SUM(C102:H102)</f>
        <v/>
      </c>
    </row>
    <row r="103">
      <c r="A103" s="512" t="n"/>
      <c r="B103" s="491" t="n"/>
      <c r="C103" s="491" t="n"/>
      <c r="D103" s="491" t="n"/>
      <c r="E103" s="491" t="n"/>
      <c r="F103" s="491" t="n"/>
      <c r="G103" s="491" t="n"/>
      <c r="H103" s="491" t="n"/>
      <c r="I103" s="481" t="n"/>
    </row>
    <row r="104" ht="17" customFormat="1" customHeight="1" s="177">
      <c r="A104" s="307" t="n">
        <v>8</v>
      </c>
      <c r="B104" s="308" t="inlineStr">
        <is>
          <t>Other Expenses (Part I Total of "Total of Other Expenses")</t>
        </is>
      </c>
      <c r="C104" s="139">
        <f>PLA.OEBussS</f>
        <v/>
      </c>
      <c r="D104" s="139">
        <f>PLA.OEFarmS</f>
        <v/>
      </c>
      <c r="E104" s="139">
        <f>PLA.OERentS</f>
        <v/>
      </c>
      <c r="F104" s="139">
        <f>PLA.OEIntS</f>
        <v/>
      </c>
      <c r="G104" s="139">
        <f>PLA.OECommS</f>
        <v/>
      </c>
      <c r="H104" s="139">
        <f>PLA.OEOthS</f>
        <v/>
      </c>
      <c r="I104" s="139">
        <f>SUM(C104:H104)</f>
        <v/>
      </c>
      <c r="J104" s="182" t="n"/>
    </row>
    <row r="105">
      <c r="A105" s="512" t="n"/>
      <c r="B105" s="491" t="n"/>
      <c r="C105" s="491" t="n"/>
      <c r="D105" s="491" t="n"/>
      <c r="E105" s="491" t="n"/>
      <c r="F105" s="491" t="n"/>
      <c r="G105" s="491" t="n"/>
      <c r="H105" s="491" t="n"/>
      <c r="I105" s="481" t="n"/>
    </row>
    <row r="106" ht="17" customFormat="1" customHeight="1" s="177">
      <c r="A106" s="307" t="n">
        <v>9</v>
      </c>
      <c r="B106" s="308" t="inlineStr">
        <is>
          <t>Profit / Surplus / (Loss) before Tax (3 + 4  - 5 - 6 - 7 - 8)</t>
        </is>
      </c>
      <c r="C106" s="139">
        <f>ROUND(C34,2)+ROUND(C36,2)-ROUND(C49,2)-ROUND(C104,2)-ROUND(C79,2)-ROUND(C96,2)</f>
        <v/>
      </c>
      <c r="D106" s="139">
        <f>ROUND(D34,2)+ROUND(D36,2)-ROUND(D49,2)-ROUND(D104,2)-ROUND(D79,2)-ROUND(D96,2)</f>
        <v/>
      </c>
      <c r="E106" s="139">
        <f>ROUND(E34,2)+ROUND(E36,2)-ROUND(E49,2)-ROUND(E104,2)-ROUND(E79,2)-ROUND(E96,2)</f>
        <v/>
      </c>
      <c r="F106" s="139">
        <f>ROUND(F34,2)+ROUND(F36,2)-ROUND(F49,2)-ROUND(F104,2)-ROUND(F79,2)-ROUND(F96,2)</f>
        <v/>
      </c>
      <c r="G106" s="139">
        <f>ROUND(G34,2)+ROUND(G36,2)-ROUND(G49,2)-ROUND(G104,2)-ROUND(G79,2)-ROUND(G96,2)</f>
        <v/>
      </c>
      <c r="H106" s="139">
        <f>ROUND(H34,2)+ROUND(H36,2)-ROUND(H49,2)-ROUND(H104,2)-ROUND(H79,2)-ROUND(H96,2)</f>
        <v/>
      </c>
      <c r="I106" s="139">
        <f>SUM(C106:H106)</f>
        <v/>
      </c>
      <c r="J106" s="182" t="n"/>
    </row>
    <row r="107" customFormat="1" s="177">
      <c r="A107" s="512" t="n"/>
      <c r="B107" s="491" t="n"/>
      <c r="C107" s="491" t="n"/>
      <c r="D107" s="491" t="n"/>
      <c r="E107" s="491" t="n"/>
      <c r="F107" s="491" t="n"/>
      <c r="G107" s="491" t="n"/>
      <c r="H107" s="491" t="n"/>
      <c r="I107" s="481" t="n"/>
      <c r="J107" s="182" t="n"/>
    </row>
    <row r="108" ht="17" customHeight="1" s="486">
      <c r="A108" s="258" t="n">
        <v>10</v>
      </c>
      <c r="B108" s="238" t="inlineStr">
        <is>
          <t>Income Tax Expense</t>
        </is>
      </c>
      <c r="C108" s="44" t="n"/>
      <c r="D108" s="44" t="n"/>
      <c r="E108" s="44" t="n"/>
      <c r="F108" s="44" t="n"/>
      <c r="G108" s="44" t="n"/>
      <c r="H108" s="44" t="n"/>
      <c r="I108" s="45" t="n"/>
    </row>
    <row r="109" ht="17" customFormat="1" customHeight="1" s="177">
      <c r="A109" s="307" t="n">
        <v>11</v>
      </c>
      <c r="B109" s="308" t="inlineStr">
        <is>
          <t>Profit / Surplus / (Loss) after Tax  carried to Balance Sheet (9(Consolidated)-10)</t>
        </is>
      </c>
      <c r="C109" s="139" t="n"/>
      <c r="D109" s="139" t="n"/>
      <c r="E109" s="139" t="n"/>
      <c r="F109" s="139" t="n"/>
      <c r="G109" s="139" t="n"/>
      <c r="H109" s="139" t="n"/>
      <c r="I109" s="139">
        <f>ROUND(I106,2)-ROUND(I108,2)</f>
        <v/>
      </c>
      <c r="J109" s="182" t="n"/>
    </row>
    <row r="110" customFormat="1" s="183">
      <c r="A110" s="182" t="n"/>
      <c r="B110" s="182" t="inlineStr">
        <is>
          <t>lookup</t>
        </is>
      </c>
      <c r="C110" s="182" t="inlineStr">
        <is>
          <t>PLABUSSH</t>
        </is>
      </c>
      <c r="D110" s="182" t="inlineStr">
        <is>
          <t>PLAFARMH</t>
        </is>
      </c>
      <c r="E110" s="182" t="inlineStr">
        <is>
          <t>PLARENTH</t>
        </is>
      </c>
      <c r="F110" s="182" t="inlineStr">
        <is>
          <t>PLAINTH</t>
        </is>
      </c>
      <c r="G110" s="182" t="inlineStr">
        <is>
          <t>PLACOMMH</t>
        </is>
      </c>
      <c r="H110" s="182" t="inlineStr">
        <is>
          <t>PLAOTHRH</t>
        </is>
      </c>
      <c r="I110" s="182" t="inlineStr">
        <is>
          <t>PLACNSLH</t>
        </is>
      </c>
      <c r="J110" s="182" t="n"/>
    </row>
    <row r="111">
      <c r="A111" s="179" t="n"/>
      <c r="B111" s="179" t="n"/>
      <c r="C111" s="179" t="n"/>
      <c r="D111" s="179" t="n"/>
      <c r="E111" s="179" t="n"/>
      <c r="F111" s="179" t="n"/>
      <c r="G111" s="179" t="n"/>
      <c r="H111" s="179" t="n"/>
      <c r="I111" s="179" t="n"/>
    </row>
    <row r="112" ht="31.5" customHeight="1" s="486">
      <c r="A112" s="179" t="n"/>
      <c r="B112" s="511" t="inlineStr">
        <is>
          <t>Part I : Other Expenses (Describe the Head of Expense)</t>
        </is>
      </c>
      <c r="C112" s="491" t="n"/>
      <c r="D112" s="491" t="n"/>
      <c r="E112" s="491" t="n"/>
      <c r="F112" s="491" t="n"/>
      <c r="G112" s="491" t="n"/>
      <c r="H112" s="481" t="n"/>
      <c r="I112" s="179" t="n"/>
      <c r="K112" s="175" t="n"/>
      <c r="L112" s="175" t="n"/>
    </row>
    <row r="113" ht="21" customHeight="1" s="486">
      <c r="A113" s="179" t="n"/>
      <c r="B113" s="545" t="inlineStr">
        <is>
          <t>Name of Expense</t>
        </is>
      </c>
      <c r="C113" s="145" t="inlineStr">
        <is>
          <t>Business (Ksh)</t>
        </is>
      </c>
      <c r="D113" s="145" t="inlineStr">
        <is>
          <t>Farming (Ksh)</t>
        </is>
      </c>
      <c r="E113" s="145" t="inlineStr">
        <is>
          <t>Rental (Ksh)</t>
        </is>
      </c>
      <c r="F113" s="145" t="inlineStr">
        <is>
          <t>Interest (Ksh)</t>
        </is>
      </c>
      <c r="G113" s="145" t="inlineStr">
        <is>
          <t>Commission (Ksh)</t>
        </is>
      </c>
      <c r="H113" s="145" t="inlineStr">
        <is>
          <t>Other (Ksh)</t>
        </is>
      </c>
      <c r="I113" s="179" t="n"/>
    </row>
    <row r="114" customFormat="1" s="525">
      <c r="A114" s="179" t="n"/>
      <c r="B114" s="43" t="n"/>
      <c r="C114" s="45" t="n"/>
      <c r="D114" s="45" t="n"/>
      <c r="E114" s="45" t="n"/>
      <c r="F114" s="45" t="n"/>
      <c r="G114" s="45" t="n"/>
      <c r="H114" s="45" t="n"/>
      <c r="I114" s="161">
        <f>IF(COUNTBLANK(B114:H114)=7,"","PlaExNEH")</f>
        <v/>
      </c>
      <c r="J114" s="182" t="n"/>
    </row>
    <row r="115" customFormat="1" s="525">
      <c r="A115" s="179" t="n"/>
      <c r="B115" s="43" t="n"/>
      <c r="C115" s="45" t="n"/>
      <c r="D115" s="45" t="n"/>
      <c r="E115" s="45" t="n"/>
      <c r="F115" s="45" t="n"/>
      <c r="G115" s="45" t="n"/>
      <c r="H115" s="45" t="n"/>
      <c r="I115" s="161">
        <f>IF(COUNTBLANK(B115:H115)=7,"","PlaExNEH")</f>
        <v/>
      </c>
      <c r="J115" s="182" t="n"/>
    </row>
    <row r="116" customFormat="1" s="525">
      <c r="A116" s="179" t="n"/>
      <c r="B116" s="43" t="n"/>
      <c r="C116" s="45" t="n"/>
      <c r="D116" s="45" t="n"/>
      <c r="E116" s="45" t="n"/>
      <c r="F116" s="45" t="n"/>
      <c r="G116" s="45" t="n"/>
      <c r="H116" s="45" t="n"/>
      <c r="I116" s="161">
        <f>IF(COUNTBLANK(B116:H116)=7,"","PlaExNEH")</f>
        <v/>
      </c>
      <c r="J116" s="182" t="n"/>
    </row>
    <row r="117" customFormat="1" s="525">
      <c r="A117" s="179" t="n"/>
      <c r="B117" s="43" t="n"/>
      <c r="C117" s="45" t="n"/>
      <c r="D117" s="45" t="n"/>
      <c r="E117" s="45" t="n"/>
      <c r="F117" s="45" t="n"/>
      <c r="G117" s="45" t="n"/>
      <c r="H117" s="45" t="n"/>
      <c r="I117" s="161">
        <f>IF(COUNTBLANK(B117:H117)=7,"","PlaExNEH")</f>
        <v/>
      </c>
      <c r="J117" s="182" t="n"/>
    </row>
    <row r="118" customFormat="1" s="525">
      <c r="A118" s="179" t="n"/>
      <c r="B118" s="43" t="n"/>
      <c r="C118" s="45" t="n"/>
      <c r="D118" s="45" t="n"/>
      <c r="E118" s="45" t="n"/>
      <c r="F118" s="45" t="n"/>
      <c r="G118" s="45" t="n"/>
      <c r="H118" s="45" t="n"/>
      <c r="I118" s="161">
        <f>IF(COUNTBLANK(B118:H118)=7,"","PlaExNEH")</f>
        <v/>
      </c>
      <c r="J118" s="182" t="n"/>
    </row>
    <row r="119" ht="17" customFormat="1" customHeight="1" s="525">
      <c r="A119" s="179" t="n"/>
      <c r="B119" s="181" t="inlineStr">
        <is>
          <t>Total of Other Expenses</t>
        </is>
      </c>
      <c r="C119" s="139">
        <f>SUM(C114:OFFSET(PLA.OEBussS,-1,0))</f>
        <v/>
      </c>
      <c r="D119" s="139">
        <f>SUM(D114:OFFSET(PLA.OEFarmS,-1,0))</f>
        <v/>
      </c>
      <c r="E119" s="139">
        <f>SUM(E114:OFFSET(PLA.OERentS,-1,0))</f>
        <v/>
      </c>
      <c r="F119" s="139">
        <f>SUM(F114:OFFSET(PLA.OEIntS,-1,0))</f>
        <v/>
      </c>
      <c r="G119" s="139">
        <f>SUM(G114:OFFSET(PLA.OECommS,-1,0))</f>
        <v/>
      </c>
      <c r="H119" s="139">
        <f>SUM(H114:OFFSET(PLA.OEOthS,-1,0))</f>
        <v/>
      </c>
      <c r="I119" s="179" t="n"/>
      <c r="J119" s="182" t="n"/>
    </row>
    <row r="120" ht="37.5" customFormat="1" customHeight="1" s="525">
      <c r="A120" s="206" t="n"/>
      <c r="B120" s="206" t="n"/>
      <c r="C120" s="206" t="n"/>
      <c r="D120" s="206" t="n"/>
      <c r="E120" s="206" t="n"/>
      <c r="F120" s="179" t="n"/>
      <c r="G120" s="179" t="n"/>
      <c r="H120" s="179" t="n"/>
      <c r="I120" s="179" t="n"/>
      <c r="J120" s="182" t="n"/>
      <c r="K120" s="179" t="n"/>
      <c r="L120" s="179" t="n"/>
      <c r="M120" s="179" t="n"/>
      <c r="N120" s="179" t="n"/>
      <c r="O120" s="179" t="n"/>
      <c r="P120" s="179" t="n"/>
      <c r="Q120" s="179" t="n"/>
      <c r="R120" s="179" t="n"/>
      <c r="S120" s="179" t="n"/>
      <c r="T120" s="179" t="n"/>
      <c r="U120" s="179" t="n"/>
      <c r="V120" s="179" t="n"/>
      <c r="W120" s="179" t="n"/>
      <c r="X120" s="179" t="n"/>
      <c r="Y120" s="179" t="n"/>
      <c r="Z120" s="179" t="n"/>
      <c r="AA120" s="179" t="n"/>
      <c r="AB120" s="179" t="n"/>
      <c r="AC120" s="179" t="n"/>
      <c r="AD120" s="179" t="n"/>
      <c r="AE120" s="179" t="n"/>
      <c r="AF120" s="179" t="n"/>
      <c r="AG120" s="179" t="n"/>
      <c r="AH120" s="179" t="n"/>
      <c r="AI120" s="179" t="n"/>
      <c r="AJ120" s="179" t="n"/>
      <c r="AK120" s="179" t="n"/>
      <c r="AL120" s="179" t="n"/>
      <c r="AM120" s="179" t="n"/>
      <c r="AN120" s="179" t="n"/>
      <c r="AO120" s="179" t="n"/>
      <c r="AP120" s="179" t="n"/>
      <c r="AQ120" s="179" t="n"/>
      <c r="AR120" s="179" t="n"/>
      <c r="AS120" s="179" t="n"/>
      <c r="AT120" s="179" t="n"/>
      <c r="AU120" s="179" t="n"/>
      <c r="AV120" s="179" t="n"/>
      <c r="AW120" s="179" t="n"/>
      <c r="AX120" s="179" t="n"/>
      <c r="AY120" s="179" t="n"/>
      <c r="AZ120" s="179" t="n"/>
      <c r="BA120" s="179" t="n"/>
      <c r="BB120" s="179" t="n"/>
      <c r="BC120" s="179" t="n"/>
      <c r="BD120" s="179" t="n"/>
      <c r="BE120" s="179" t="n"/>
      <c r="BF120" s="179" t="n"/>
      <c r="BG120" s="179" t="n"/>
      <c r="BH120" s="179" t="n"/>
      <c r="BI120" s="179" t="n"/>
      <c r="BJ120" s="179" t="n"/>
      <c r="BK120" s="179" t="n"/>
      <c r="BL120" s="179" t="n"/>
      <c r="BM120" s="179" t="n"/>
      <c r="BN120" s="179" t="n"/>
      <c r="BO120" s="179" t="n"/>
      <c r="BP120" s="179" t="n"/>
      <c r="BQ120" s="179" t="n"/>
      <c r="BR120" s="179" t="n"/>
      <c r="BS120" s="179" t="n"/>
      <c r="BT120" s="179" t="n"/>
      <c r="BU120" s="179" t="n"/>
      <c r="BV120" s="179" t="n"/>
      <c r="BW120" s="179" t="n"/>
      <c r="BX120" s="179" t="n"/>
      <c r="BY120" s="179" t="n"/>
      <c r="BZ120" s="179" t="n"/>
      <c r="CA120" s="179" t="n"/>
      <c r="CB120" s="179" t="n"/>
      <c r="CC120" s="179" t="n"/>
      <c r="CD120" s="179" t="n"/>
      <c r="CE120" s="179" t="n"/>
      <c r="CF120" s="179" t="n"/>
      <c r="CG120" s="179" t="n"/>
      <c r="CH120" s="179" t="n"/>
      <c r="CI120" s="179" t="n"/>
      <c r="CJ120" s="179" t="n"/>
      <c r="CK120" s="179" t="n"/>
      <c r="CL120" s="179" t="n"/>
      <c r="CM120" s="179" t="n"/>
      <c r="CN120" s="179" t="n"/>
      <c r="CO120" s="179" t="n"/>
      <c r="CP120" s="179" t="n"/>
      <c r="CQ120" s="179" t="n"/>
      <c r="CR120" s="179" t="n"/>
      <c r="CS120" s="179" t="n"/>
      <c r="CT120" s="179" t="n"/>
      <c r="CU120" s="179" t="n"/>
      <c r="CV120" s="179" t="n"/>
      <c r="CW120" s="179" t="n"/>
      <c r="CX120" s="179" t="n"/>
      <c r="CY120" s="179" t="n"/>
      <c r="CZ120" s="179" t="n"/>
      <c r="DA120" s="179" t="n"/>
      <c r="DB120" s="179" t="n"/>
      <c r="DC120" s="179" t="n"/>
      <c r="DD120" s="179" t="n"/>
      <c r="DE120" s="179" t="n"/>
      <c r="DF120" s="179" t="n"/>
      <c r="DG120" s="179" t="n"/>
      <c r="DH120" s="179" t="n"/>
      <c r="DI120" s="179" t="n"/>
      <c r="DJ120" s="179" t="n"/>
      <c r="DK120" s="179" t="n"/>
      <c r="DL120" s="179" t="n"/>
      <c r="DM120" s="179" t="n"/>
      <c r="DN120" s="179" t="n"/>
      <c r="DO120" s="179" t="n"/>
      <c r="DP120" s="179" t="n"/>
      <c r="DQ120" s="179" t="n"/>
      <c r="DR120" s="179" t="n"/>
      <c r="DS120" s="179" t="n"/>
      <c r="DT120" s="179" t="n"/>
      <c r="DU120" s="179" t="n"/>
      <c r="DV120" s="179" t="n"/>
      <c r="DW120" s="179" t="n"/>
      <c r="DX120" s="179" t="n"/>
      <c r="DY120" s="179" t="n"/>
      <c r="DZ120" s="179" t="n"/>
      <c r="EA120" s="179" t="n"/>
      <c r="EB120" s="179" t="n"/>
      <c r="EC120" s="179" t="n"/>
      <c r="ED120" s="179" t="n"/>
      <c r="EE120" s="179" t="n"/>
      <c r="EF120" s="179" t="n"/>
      <c r="EG120" s="179" t="n"/>
      <c r="EH120" s="179" t="n"/>
      <c r="EI120" s="179" t="n"/>
      <c r="EJ120" s="179" t="n"/>
      <c r="EK120" s="179" t="n"/>
      <c r="EL120" s="179" t="n"/>
      <c r="EM120" s="179" t="n"/>
      <c r="EN120" s="179" t="n"/>
      <c r="EO120" s="179" t="n"/>
      <c r="EP120" s="179" t="n"/>
      <c r="EQ120" s="179" t="n"/>
      <c r="ER120" s="179" t="n"/>
      <c r="ES120" s="179" t="n"/>
      <c r="ET120" s="179" t="n"/>
      <c r="EU120" s="179" t="n"/>
      <c r="EV120" s="179" t="n"/>
      <c r="EW120" s="179" t="n"/>
      <c r="EX120" s="179" t="n"/>
      <c r="EY120" s="179" t="n"/>
      <c r="EZ120" s="179" t="n"/>
      <c r="FA120" s="179" t="n"/>
      <c r="FB120" s="179" t="n"/>
      <c r="FC120" s="179" t="n"/>
      <c r="FD120" s="179" t="n"/>
      <c r="FE120" s="179" t="n"/>
      <c r="FF120" s="179" t="n"/>
      <c r="FG120" s="179" t="n"/>
      <c r="FH120" s="179" t="n"/>
      <c r="FI120" s="179" t="n"/>
      <c r="FJ120" s="179" t="n"/>
      <c r="FK120" s="179" t="n"/>
      <c r="FL120" s="179" t="n"/>
      <c r="FM120" s="179" t="n"/>
      <c r="FN120" s="179" t="n"/>
      <c r="FO120" s="179" t="n"/>
      <c r="FP120" s="179" t="n"/>
      <c r="FQ120" s="179" t="n"/>
      <c r="FR120" s="179" t="n"/>
      <c r="FS120" s="179" t="n"/>
      <c r="FT120" s="179" t="n"/>
      <c r="FU120" s="179" t="n"/>
      <c r="FV120" s="179" t="n"/>
      <c r="FW120" s="179" t="n"/>
      <c r="FX120" s="179" t="n"/>
      <c r="FY120" s="179" t="n"/>
      <c r="FZ120" s="179" t="n"/>
      <c r="GA120" s="179" t="n"/>
      <c r="GB120" s="179" t="n"/>
      <c r="GC120" s="179" t="n"/>
      <c r="GD120" s="179" t="n"/>
      <c r="GE120" s="179" t="n"/>
      <c r="GF120" s="179" t="n"/>
      <c r="GG120" s="179" t="n"/>
      <c r="GH120" s="179" t="n"/>
      <c r="GI120" s="179" t="n"/>
      <c r="GJ120" s="179" t="n"/>
      <c r="GK120" s="179" t="n"/>
      <c r="GL120" s="179" t="n"/>
      <c r="GM120" s="179" t="n"/>
      <c r="GN120" s="179" t="n"/>
      <c r="GO120" s="179" t="n"/>
      <c r="GP120" s="179" t="n"/>
      <c r="GQ120" s="179" t="n"/>
      <c r="GR120" s="179" t="n"/>
      <c r="GS120" s="179" t="n"/>
      <c r="GT120" s="179" t="n"/>
      <c r="GU120" s="179" t="n"/>
      <c r="GV120" s="179" t="n"/>
      <c r="GW120" s="179" t="n"/>
      <c r="GX120" s="179" t="n"/>
      <c r="GY120" s="179" t="n"/>
      <c r="GZ120" s="179" t="n"/>
      <c r="HA120" s="179" t="n"/>
      <c r="HB120" s="179" t="n"/>
      <c r="HC120" s="179" t="n"/>
      <c r="HD120" s="179" t="n"/>
      <c r="HE120" s="179" t="n"/>
      <c r="HF120" s="179" t="n"/>
      <c r="HG120" s="179" t="n"/>
      <c r="HH120" s="179" t="n"/>
      <c r="HI120" s="179" t="n"/>
      <c r="HJ120" s="179" t="n"/>
      <c r="HK120" s="179" t="n"/>
      <c r="HL120" s="179" t="n"/>
      <c r="HM120" s="179" t="n"/>
      <c r="HN120" s="179" t="n"/>
      <c r="HO120" s="179" t="n"/>
      <c r="HP120" s="179" t="n"/>
      <c r="HQ120" s="179" t="n"/>
      <c r="HR120" s="179" t="n"/>
      <c r="HS120" s="179" t="n"/>
      <c r="HT120" s="179" t="n"/>
      <c r="HU120" s="179" t="n"/>
      <c r="HV120" s="179" t="n"/>
      <c r="HW120" s="179" t="n"/>
      <c r="HX120" s="179" t="n"/>
      <c r="HY120" s="179" t="n"/>
      <c r="HZ120" s="179" t="n"/>
      <c r="IA120" s="179" t="n"/>
      <c r="IB120" s="179" t="n"/>
      <c r="IC120" s="179" t="n"/>
      <c r="ID120" s="179" t="n"/>
      <c r="IE120" s="179" t="n"/>
      <c r="IF120" s="179" t="n"/>
      <c r="IG120" s="179" t="n"/>
      <c r="IH120" s="179" t="n"/>
      <c r="II120" s="179" t="n"/>
      <c r="IJ120" s="179" t="n"/>
      <c r="IK120" s="179" t="n"/>
      <c r="IL120" s="179" t="n"/>
      <c r="IM120" s="179" t="n"/>
      <c r="IN120" s="179" t="n"/>
      <c r="IO120" s="179" t="n"/>
      <c r="IP120" s="179" t="n"/>
      <c r="IQ120" s="179" t="n"/>
      <c r="IR120" s="179" t="n"/>
      <c r="IS120" s="179" t="n"/>
      <c r="IT120" s="179" t="n"/>
      <c r="IU120" s="179" t="n"/>
      <c r="IV120" s="179" t="n"/>
    </row>
    <row r="121" ht="37.5" customFormat="1" customHeight="1" s="525">
      <c r="A121" s="580" t="n"/>
      <c r="B121" s="511" t="inlineStr">
        <is>
          <t>Part II : Other Income (Describe the Head of Income)</t>
        </is>
      </c>
      <c r="C121" s="491" t="n"/>
      <c r="D121" s="491" t="n"/>
      <c r="E121" s="491" t="n"/>
      <c r="F121" s="491" t="n"/>
      <c r="G121" s="491" t="n"/>
      <c r="H121" s="481" t="n"/>
      <c r="I121" s="179" t="n"/>
      <c r="J121" s="182" t="n"/>
      <c r="K121" s="179" t="n"/>
      <c r="L121" s="179" t="n"/>
      <c r="M121" s="179" t="n"/>
      <c r="N121" s="179" t="n"/>
      <c r="O121" s="179" t="n"/>
      <c r="P121" s="179" t="n"/>
      <c r="Q121" s="179" t="n"/>
      <c r="R121" s="179" t="n"/>
      <c r="S121" s="179" t="n"/>
      <c r="T121" s="179" t="n"/>
      <c r="U121" s="179" t="n"/>
      <c r="V121" s="179" t="n"/>
      <c r="W121" s="179" t="n"/>
      <c r="X121" s="179" t="n"/>
      <c r="Y121" s="179" t="n"/>
      <c r="Z121" s="179" t="n"/>
      <c r="AA121" s="179" t="n"/>
      <c r="AB121" s="179" t="n"/>
      <c r="AC121" s="179" t="n"/>
      <c r="AD121" s="179" t="n"/>
      <c r="AE121" s="179" t="n"/>
      <c r="AF121" s="179" t="n"/>
      <c r="AG121" s="179" t="n"/>
      <c r="AH121" s="179" t="n"/>
      <c r="AI121" s="179" t="n"/>
      <c r="AJ121" s="179" t="n"/>
      <c r="AK121" s="179" t="n"/>
      <c r="AL121" s="179" t="n"/>
      <c r="AM121" s="179" t="n"/>
      <c r="AN121" s="179" t="n"/>
      <c r="AO121" s="179" t="n"/>
      <c r="AP121" s="179" t="n"/>
      <c r="AQ121" s="179" t="n"/>
      <c r="AR121" s="179" t="n"/>
      <c r="AS121" s="179" t="n"/>
      <c r="AT121" s="179" t="n"/>
      <c r="AU121" s="179" t="n"/>
      <c r="AV121" s="179" t="n"/>
      <c r="AW121" s="179" t="n"/>
      <c r="AX121" s="179" t="n"/>
      <c r="AY121" s="179" t="n"/>
      <c r="AZ121" s="179" t="n"/>
      <c r="BA121" s="179" t="n"/>
      <c r="BB121" s="179" t="n"/>
      <c r="BC121" s="179" t="n"/>
      <c r="BD121" s="179" t="n"/>
      <c r="BE121" s="179" t="n"/>
      <c r="BF121" s="179" t="n"/>
      <c r="BG121" s="179" t="n"/>
      <c r="BH121" s="179" t="n"/>
      <c r="BI121" s="179" t="n"/>
      <c r="BJ121" s="179" t="n"/>
      <c r="BK121" s="179" t="n"/>
      <c r="BL121" s="179" t="n"/>
      <c r="BM121" s="179" t="n"/>
      <c r="BN121" s="179" t="n"/>
      <c r="BO121" s="179" t="n"/>
      <c r="BP121" s="179" t="n"/>
      <c r="BQ121" s="179" t="n"/>
      <c r="BR121" s="179" t="n"/>
      <c r="BS121" s="179" t="n"/>
      <c r="BT121" s="179" t="n"/>
      <c r="BU121" s="179" t="n"/>
      <c r="BV121" s="179" t="n"/>
      <c r="BW121" s="179" t="n"/>
      <c r="BX121" s="179" t="n"/>
      <c r="BY121" s="179" t="n"/>
      <c r="BZ121" s="179" t="n"/>
      <c r="CA121" s="179" t="n"/>
      <c r="CB121" s="179" t="n"/>
      <c r="CC121" s="179" t="n"/>
      <c r="CD121" s="179" t="n"/>
      <c r="CE121" s="179" t="n"/>
      <c r="CF121" s="179" t="n"/>
      <c r="CG121" s="179" t="n"/>
      <c r="CH121" s="179" t="n"/>
      <c r="CI121" s="179" t="n"/>
      <c r="CJ121" s="179" t="n"/>
      <c r="CK121" s="179" t="n"/>
      <c r="CL121" s="179" t="n"/>
      <c r="CM121" s="179" t="n"/>
      <c r="CN121" s="179" t="n"/>
      <c r="CO121" s="179" t="n"/>
      <c r="CP121" s="179" t="n"/>
      <c r="CQ121" s="179" t="n"/>
      <c r="CR121" s="179" t="n"/>
      <c r="CS121" s="179" t="n"/>
      <c r="CT121" s="179" t="n"/>
      <c r="CU121" s="179" t="n"/>
      <c r="CV121" s="179" t="n"/>
      <c r="CW121" s="179" t="n"/>
      <c r="CX121" s="179" t="n"/>
      <c r="CY121" s="179" t="n"/>
      <c r="CZ121" s="179" t="n"/>
      <c r="DA121" s="179" t="n"/>
      <c r="DB121" s="179" t="n"/>
      <c r="DC121" s="179" t="n"/>
      <c r="DD121" s="179" t="n"/>
      <c r="DE121" s="179" t="n"/>
      <c r="DF121" s="179" t="n"/>
      <c r="DG121" s="179" t="n"/>
      <c r="DH121" s="179" t="n"/>
      <c r="DI121" s="179" t="n"/>
      <c r="DJ121" s="179" t="n"/>
      <c r="DK121" s="179" t="n"/>
      <c r="DL121" s="179" t="n"/>
      <c r="DM121" s="179" t="n"/>
      <c r="DN121" s="179" t="n"/>
      <c r="DO121" s="179" t="n"/>
      <c r="DP121" s="179" t="n"/>
      <c r="DQ121" s="179" t="n"/>
      <c r="DR121" s="179" t="n"/>
      <c r="DS121" s="179" t="n"/>
      <c r="DT121" s="179" t="n"/>
      <c r="DU121" s="179" t="n"/>
      <c r="DV121" s="179" t="n"/>
      <c r="DW121" s="179" t="n"/>
      <c r="DX121" s="179" t="n"/>
      <c r="DY121" s="179" t="n"/>
      <c r="DZ121" s="179" t="n"/>
      <c r="EA121" s="179" t="n"/>
      <c r="EB121" s="179" t="n"/>
      <c r="EC121" s="179" t="n"/>
      <c r="ED121" s="179" t="n"/>
      <c r="EE121" s="179" t="n"/>
      <c r="EF121" s="179" t="n"/>
      <c r="EG121" s="179" t="n"/>
      <c r="EH121" s="179" t="n"/>
      <c r="EI121" s="179" t="n"/>
      <c r="EJ121" s="179" t="n"/>
      <c r="EK121" s="179" t="n"/>
      <c r="EL121" s="179" t="n"/>
      <c r="EM121" s="179" t="n"/>
      <c r="EN121" s="179" t="n"/>
      <c r="EO121" s="179" t="n"/>
      <c r="EP121" s="179" t="n"/>
      <c r="EQ121" s="179" t="n"/>
      <c r="ER121" s="179" t="n"/>
      <c r="ES121" s="179" t="n"/>
      <c r="ET121" s="179" t="n"/>
      <c r="EU121" s="179" t="n"/>
      <c r="EV121" s="179" t="n"/>
      <c r="EW121" s="179" t="n"/>
      <c r="EX121" s="179" t="n"/>
      <c r="EY121" s="179" t="n"/>
      <c r="EZ121" s="179" t="n"/>
      <c r="FA121" s="179" t="n"/>
      <c r="FB121" s="179" t="n"/>
      <c r="FC121" s="179" t="n"/>
      <c r="FD121" s="179" t="n"/>
      <c r="FE121" s="179" t="n"/>
      <c r="FF121" s="179" t="n"/>
      <c r="FG121" s="179" t="n"/>
      <c r="FH121" s="179" t="n"/>
      <c r="FI121" s="179" t="n"/>
      <c r="FJ121" s="179" t="n"/>
      <c r="FK121" s="179" t="n"/>
      <c r="FL121" s="179" t="n"/>
      <c r="FM121" s="179" t="n"/>
      <c r="FN121" s="179" t="n"/>
      <c r="FO121" s="179" t="n"/>
      <c r="FP121" s="179" t="n"/>
      <c r="FQ121" s="179" t="n"/>
      <c r="FR121" s="179" t="n"/>
      <c r="FS121" s="179" t="n"/>
      <c r="FT121" s="179" t="n"/>
      <c r="FU121" s="179" t="n"/>
      <c r="FV121" s="179" t="n"/>
      <c r="FW121" s="179" t="n"/>
      <c r="FX121" s="179" t="n"/>
      <c r="FY121" s="179" t="n"/>
      <c r="FZ121" s="179" t="n"/>
      <c r="GA121" s="179" t="n"/>
      <c r="GB121" s="179" t="n"/>
      <c r="GC121" s="179" t="n"/>
      <c r="GD121" s="179" t="n"/>
      <c r="GE121" s="179" t="n"/>
      <c r="GF121" s="179" t="n"/>
      <c r="GG121" s="179" t="n"/>
      <c r="GH121" s="179" t="n"/>
      <c r="GI121" s="179" t="n"/>
      <c r="GJ121" s="179" t="n"/>
      <c r="GK121" s="179" t="n"/>
      <c r="GL121" s="179" t="n"/>
      <c r="GM121" s="179" t="n"/>
      <c r="GN121" s="179" t="n"/>
      <c r="GO121" s="179" t="n"/>
      <c r="GP121" s="179" t="n"/>
      <c r="GQ121" s="179" t="n"/>
      <c r="GR121" s="179" t="n"/>
      <c r="GS121" s="179" t="n"/>
      <c r="GT121" s="179" t="n"/>
      <c r="GU121" s="179" t="n"/>
      <c r="GV121" s="179" t="n"/>
      <c r="GW121" s="179" t="n"/>
      <c r="GX121" s="179" t="n"/>
      <c r="GY121" s="179" t="n"/>
      <c r="GZ121" s="179" t="n"/>
      <c r="HA121" s="179" t="n"/>
      <c r="HB121" s="179" t="n"/>
      <c r="HC121" s="179" t="n"/>
      <c r="HD121" s="179" t="n"/>
      <c r="HE121" s="179" t="n"/>
      <c r="HF121" s="179" t="n"/>
      <c r="HG121" s="179" t="n"/>
      <c r="HH121" s="179" t="n"/>
      <c r="HI121" s="179" t="n"/>
      <c r="HJ121" s="179" t="n"/>
      <c r="HK121" s="179" t="n"/>
      <c r="HL121" s="179" t="n"/>
      <c r="HM121" s="179" t="n"/>
      <c r="HN121" s="179" t="n"/>
      <c r="HO121" s="179" t="n"/>
      <c r="HP121" s="179" t="n"/>
      <c r="HQ121" s="179" t="n"/>
      <c r="HR121" s="179" t="n"/>
      <c r="HS121" s="179" t="n"/>
      <c r="HT121" s="179" t="n"/>
      <c r="HU121" s="179" t="n"/>
      <c r="HV121" s="179" t="n"/>
      <c r="HW121" s="179" t="n"/>
      <c r="HX121" s="179" t="n"/>
      <c r="HY121" s="179" t="n"/>
      <c r="HZ121" s="179" t="n"/>
      <c r="IA121" s="179" t="n"/>
      <c r="IB121" s="179" t="n"/>
      <c r="IC121" s="179" t="n"/>
      <c r="ID121" s="179" t="n"/>
      <c r="IE121" s="179" t="n"/>
      <c r="IF121" s="179" t="n"/>
      <c r="IG121" s="179" t="n"/>
      <c r="IH121" s="179" t="n"/>
      <c r="II121" s="179" t="n"/>
      <c r="IJ121" s="179" t="n"/>
      <c r="IK121" s="179" t="n"/>
      <c r="IL121" s="179" t="n"/>
      <c r="IM121" s="179" t="n"/>
      <c r="IN121" s="179" t="n"/>
      <c r="IO121" s="179" t="n"/>
      <c r="IP121" s="179" t="n"/>
      <c r="IQ121" s="179" t="n"/>
      <c r="IR121" s="179" t="n"/>
      <c r="IS121" s="179" t="n"/>
      <c r="IT121" s="179" t="n"/>
      <c r="IU121" s="179" t="n"/>
      <c r="IV121" s="179" t="n"/>
    </row>
    <row r="122" ht="21" customFormat="1" customHeight="1" s="525">
      <c r="A122" s="580" t="n"/>
      <c r="B122" s="545" t="inlineStr">
        <is>
          <t>Name of Income</t>
        </is>
      </c>
      <c r="C122" s="145" t="inlineStr">
        <is>
          <t>Business (Ksh)</t>
        </is>
      </c>
      <c r="D122" s="145" t="inlineStr">
        <is>
          <t>Farming (Ksh)</t>
        </is>
      </c>
      <c r="E122" s="145" t="inlineStr">
        <is>
          <t>Rental (Ksh)</t>
        </is>
      </c>
      <c r="F122" s="145" t="inlineStr">
        <is>
          <t>Interest (Ksh)</t>
        </is>
      </c>
      <c r="G122" s="145" t="inlineStr">
        <is>
          <t>Commission (Ksh)</t>
        </is>
      </c>
      <c r="H122" s="145" t="inlineStr">
        <is>
          <t>Other (Ksh)</t>
        </is>
      </c>
      <c r="I122" s="179" t="n"/>
      <c r="J122" s="182" t="n"/>
      <c r="K122" s="179" t="n"/>
      <c r="L122" s="179" t="n"/>
      <c r="M122" s="179" t="n"/>
      <c r="N122" s="179" t="n"/>
      <c r="O122" s="179" t="n"/>
      <c r="P122" s="179" t="n"/>
      <c r="Q122" s="179" t="n"/>
      <c r="R122" s="179" t="n"/>
      <c r="S122" s="179" t="n"/>
      <c r="T122" s="179" t="n"/>
      <c r="U122" s="179" t="n"/>
      <c r="V122" s="179" t="n"/>
      <c r="W122" s="179" t="n"/>
      <c r="X122" s="179" t="n"/>
      <c r="Y122" s="179" t="n"/>
      <c r="Z122" s="179" t="n"/>
      <c r="AA122" s="179" t="n"/>
      <c r="AB122" s="179" t="n"/>
      <c r="AC122" s="179" t="n"/>
      <c r="AD122" s="179" t="n"/>
      <c r="AE122" s="179" t="n"/>
      <c r="AF122" s="179" t="n"/>
      <c r="AG122" s="179" t="n"/>
      <c r="AH122" s="179" t="n"/>
      <c r="AI122" s="179" t="n"/>
      <c r="AJ122" s="179" t="n"/>
      <c r="AK122" s="179" t="n"/>
      <c r="AL122" s="179" t="n"/>
      <c r="AM122" s="179" t="n"/>
      <c r="AN122" s="179" t="n"/>
      <c r="AO122" s="179" t="n"/>
      <c r="AP122" s="179" t="n"/>
      <c r="AQ122" s="179" t="n"/>
      <c r="AR122" s="179" t="n"/>
      <c r="AS122" s="179" t="n"/>
      <c r="AT122" s="179" t="n"/>
      <c r="AU122" s="179" t="n"/>
      <c r="AV122" s="179" t="n"/>
      <c r="AW122" s="179" t="n"/>
      <c r="AX122" s="179" t="n"/>
      <c r="AY122" s="179" t="n"/>
      <c r="AZ122" s="179" t="n"/>
      <c r="BA122" s="179" t="n"/>
      <c r="BB122" s="179" t="n"/>
      <c r="BC122" s="179" t="n"/>
      <c r="BD122" s="179" t="n"/>
      <c r="BE122" s="179" t="n"/>
      <c r="BF122" s="179" t="n"/>
      <c r="BG122" s="179" t="n"/>
      <c r="BH122" s="179" t="n"/>
      <c r="BI122" s="179" t="n"/>
      <c r="BJ122" s="179" t="n"/>
      <c r="BK122" s="179" t="n"/>
      <c r="BL122" s="179" t="n"/>
      <c r="BM122" s="179" t="n"/>
      <c r="BN122" s="179" t="n"/>
      <c r="BO122" s="179" t="n"/>
      <c r="BP122" s="179" t="n"/>
      <c r="BQ122" s="179" t="n"/>
      <c r="BR122" s="179" t="n"/>
      <c r="BS122" s="179" t="n"/>
      <c r="BT122" s="179" t="n"/>
      <c r="BU122" s="179" t="n"/>
      <c r="BV122" s="179" t="n"/>
      <c r="BW122" s="179" t="n"/>
      <c r="BX122" s="179" t="n"/>
      <c r="BY122" s="179" t="n"/>
      <c r="BZ122" s="179" t="n"/>
      <c r="CA122" s="179" t="n"/>
      <c r="CB122" s="179" t="n"/>
      <c r="CC122" s="179" t="n"/>
      <c r="CD122" s="179" t="n"/>
      <c r="CE122" s="179" t="n"/>
      <c r="CF122" s="179" t="n"/>
      <c r="CG122" s="179" t="n"/>
      <c r="CH122" s="179" t="n"/>
      <c r="CI122" s="179" t="n"/>
      <c r="CJ122" s="179" t="n"/>
      <c r="CK122" s="179" t="n"/>
      <c r="CL122" s="179" t="n"/>
      <c r="CM122" s="179" t="n"/>
      <c r="CN122" s="179" t="n"/>
      <c r="CO122" s="179" t="n"/>
      <c r="CP122" s="179" t="n"/>
      <c r="CQ122" s="179" t="n"/>
      <c r="CR122" s="179" t="n"/>
      <c r="CS122" s="179" t="n"/>
      <c r="CT122" s="179" t="n"/>
      <c r="CU122" s="179" t="n"/>
      <c r="CV122" s="179" t="n"/>
      <c r="CW122" s="179" t="n"/>
      <c r="CX122" s="179" t="n"/>
      <c r="CY122" s="179" t="n"/>
      <c r="CZ122" s="179" t="n"/>
      <c r="DA122" s="179" t="n"/>
      <c r="DB122" s="179" t="n"/>
      <c r="DC122" s="179" t="n"/>
      <c r="DD122" s="179" t="n"/>
      <c r="DE122" s="179" t="n"/>
      <c r="DF122" s="179" t="n"/>
      <c r="DG122" s="179" t="n"/>
      <c r="DH122" s="179" t="n"/>
      <c r="DI122" s="179" t="n"/>
      <c r="DJ122" s="179" t="n"/>
      <c r="DK122" s="179" t="n"/>
      <c r="DL122" s="179" t="n"/>
      <c r="DM122" s="179" t="n"/>
      <c r="DN122" s="179" t="n"/>
      <c r="DO122" s="179" t="n"/>
      <c r="DP122" s="179" t="n"/>
      <c r="DQ122" s="179" t="n"/>
      <c r="DR122" s="179" t="n"/>
      <c r="DS122" s="179" t="n"/>
      <c r="DT122" s="179" t="n"/>
      <c r="DU122" s="179" t="n"/>
      <c r="DV122" s="179" t="n"/>
      <c r="DW122" s="179" t="n"/>
      <c r="DX122" s="179" t="n"/>
      <c r="DY122" s="179" t="n"/>
      <c r="DZ122" s="179" t="n"/>
      <c r="EA122" s="179" t="n"/>
      <c r="EB122" s="179" t="n"/>
      <c r="EC122" s="179" t="n"/>
      <c r="ED122" s="179" t="n"/>
      <c r="EE122" s="179" t="n"/>
      <c r="EF122" s="179" t="n"/>
      <c r="EG122" s="179" t="n"/>
      <c r="EH122" s="179" t="n"/>
      <c r="EI122" s="179" t="n"/>
      <c r="EJ122" s="179" t="n"/>
      <c r="EK122" s="179" t="n"/>
      <c r="EL122" s="179" t="n"/>
      <c r="EM122" s="179" t="n"/>
      <c r="EN122" s="179" t="n"/>
      <c r="EO122" s="179" t="n"/>
      <c r="EP122" s="179" t="n"/>
      <c r="EQ122" s="179" t="n"/>
      <c r="ER122" s="179" t="n"/>
      <c r="ES122" s="179" t="n"/>
      <c r="ET122" s="179" t="n"/>
      <c r="EU122" s="179" t="n"/>
      <c r="EV122" s="179" t="n"/>
      <c r="EW122" s="179" t="n"/>
      <c r="EX122" s="179" t="n"/>
      <c r="EY122" s="179" t="n"/>
      <c r="EZ122" s="179" t="n"/>
      <c r="FA122" s="179" t="n"/>
      <c r="FB122" s="179" t="n"/>
      <c r="FC122" s="179" t="n"/>
      <c r="FD122" s="179" t="n"/>
      <c r="FE122" s="179" t="n"/>
      <c r="FF122" s="179" t="n"/>
      <c r="FG122" s="179" t="n"/>
      <c r="FH122" s="179" t="n"/>
      <c r="FI122" s="179" t="n"/>
      <c r="FJ122" s="179" t="n"/>
      <c r="FK122" s="179" t="n"/>
      <c r="FL122" s="179" t="n"/>
      <c r="FM122" s="179" t="n"/>
      <c r="FN122" s="179" t="n"/>
      <c r="FO122" s="179" t="n"/>
      <c r="FP122" s="179" t="n"/>
      <c r="FQ122" s="179" t="n"/>
      <c r="FR122" s="179" t="n"/>
      <c r="FS122" s="179" t="n"/>
      <c r="FT122" s="179" t="n"/>
      <c r="FU122" s="179" t="n"/>
      <c r="FV122" s="179" t="n"/>
      <c r="FW122" s="179" t="n"/>
      <c r="FX122" s="179" t="n"/>
      <c r="FY122" s="179" t="n"/>
      <c r="FZ122" s="179" t="n"/>
      <c r="GA122" s="179" t="n"/>
      <c r="GB122" s="179" t="n"/>
      <c r="GC122" s="179" t="n"/>
      <c r="GD122" s="179" t="n"/>
      <c r="GE122" s="179" t="n"/>
      <c r="GF122" s="179" t="n"/>
      <c r="GG122" s="179" t="n"/>
      <c r="GH122" s="179" t="n"/>
      <c r="GI122" s="179" t="n"/>
      <c r="GJ122" s="179" t="n"/>
      <c r="GK122" s="179" t="n"/>
      <c r="GL122" s="179" t="n"/>
      <c r="GM122" s="179" t="n"/>
      <c r="GN122" s="179" t="n"/>
      <c r="GO122" s="179" t="n"/>
      <c r="GP122" s="179" t="n"/>
      <c r="GQ122" s="179" t="n"/>
      <c r="GR122" s="179" t="n"/>
      <c r="GS122" s="179" t="n"/>
      <c r="GT122" s="179" t="n"/>
      <c r="GU122" s="179" t="n"/>
      <c r="GV122" s="179" t="n"/>
      <c r="GW122" s="179" t="n"/>
      <c r="GX122" s="179" t="n"/>
      <c r="GY122" s="179" t="n"/>
      <c r="GZ122" s="179" t="n"/>
      <c r="HA122" s="179" t="n"/>
      <c r="HB122" s="179" t="n"/>
      <c r="HC122" s="179" t="n"/>
      <c r="HD122" s="179" t="n"/>
      <c r="HE122" s="179" t="n"/>
      <c r="HF122" s="179" t="n"/>
      <c r="HG122" s="179" t="n"/>
      <c r="HH122" s="179" t="n"/>
      <c r="HI122" s="179" t="n"/>
      <c r="HJ122" s="179" t="n"/>
      <c r="HK122" s="179" t="n"/>
      <c r="HL122" s="179" t="n"/>
      <c r="HM122" s="179" t="n"/>
      <c r="HN122" s="179" t="n"/>
      <c r="HO122" s="179" t="n"/>
      <c r="HP122" s="179" t="n"/>
      <c r="HQ122" s="179" t="n"/>
      <c r="HR122" s="179" t="n"/>
      <c r="HS122" s="179" t="n"/>
      <c r="HT122" s="179" t="n"/>
      <c r="HU122" s="179" t="n"/>
      <c r="HV122" s="179" t="n"/>
      <c r="HW122" s="179" t="n"/>
      <c r="HX122" s="179" t="n"/>
      <c r="HY122" s="179" t="n"/>
      <c r="HZ122" s="179" t="n"/>
      <c r="IA122" s="179" t="n"/>
      <c r="IB122" s="179" t="n"/>
      <c r="IC122" s="179" t="n"/>
      <c r="ID122" s="179" t="n"/>
      <c r="IE122" s="179" t="n"/>
      <c r="IF122" s="179" t="n"/>
      <c r="IG122" s="179" t="n"/>
      <c r="IH122" s="179" t="n"/>
      <c r="II122" s="179" t="n"/>
      <c r="IJ122" s="179" t="n"/>
      <c r="IK122" s="179" t="n"/>
      <c r="IL122" s="179" t="n"/>
      <c r="IM122" s="179" t="n"/>
      <c r="IN122" s="179" t="n"/>
      <c r="IO122" s="179" t="n"/>
      <c r="IP122" s="179" t="n"/>
      <c r="IQ122" s="179" t="n"/>
      <c r="IR122" s="179" t="n"/>
      <c r="IS122" s="179" t="n"/>
      <c r="IT122" s="179" t="n"/>
      <c r="IU122" s="179" t="n"/>
      <c r="IV122" s="179" t="n"/>
    </row>
    <row r="123" ht="16.5" customFormat="1" customHeight="1" s="525">
      <c r="A123" s="580" t="n"/>
      <c r="B123" s="43" t="n"/>
      <c r="C123" s="45" t="n"/>
      <c r="D123" s="45" t="n"/>
      <c r="E123" s="45" t="n"/>
      <c r="F123" s="45" t="n"/>
      <c r="G123" s="45" t="n"/>
      <c r="H123" s="45" t="n"/>
      <c r="I123" s="161">
        <f>IF(COUNTBLANK(B123:H123)=7,"","PLAOIH")</f>
        <v/>
      </c>
      <c r="J123" s="182" t="n"/>
      <c r="K123" s="179" t="n"/>
      <c r="L123" s="179" t="n"/>
      <c r="M123" s="179" t="n"/>
      <c r="N123" s="179" t="n"/>
      <c r="O123" s="179" t="n"/>
      <c r="P123" s="179" t="n"/>
      <c r="Q123" s="179" t="n"/>
      <c r="R123" s="179" t="n"/>
      <c r="S123" s="179" t="n"/>
      <c r="T123" s="179" t="n"/>
      <c r="U123" s="179" t="n"/>
      <c r="V123" s="179" t="n"/>
      <c r="W123" s="179" t="n"/>
      <c r="X123" s="179" t="n"/>
      <c r="Y123" s="179" t="n"/>
      <c r="Z123" s="179" t="n"/>
      <c r="AA123" s="179" t="n"/>
      <c r="AB123" s="179" t="n"/>
      <c r="AC123" s="179" t="n"/>
      <c r="AD123" s="179" t="n"/>
      <c r="AE123" s="179" t="n"/>
      <c r="AF123" s="179" t="n"/>
      <c r="AG123" s="179" t="n"/>
      <c r="AH123" s="179" t="n"/>
      <c r="AI123" s="179" t="n"/>
      <c r="AJ123" s="179" t="n"/>
      <c r="AK123" s="179" t="n"/>
      <c r="AL123" s="179" t="n"/>
      <c r="AM123" s="179" t="n"/>
      <c r="AN123" s="179" t="n"/>
      <c r="AO123" s="179" t="n"/>
      <c r="AP123" s="179" t="n"/>
      <c r="AQ123" s="179" t="n"/>
      <c r="AR123" s="179" t="n"/>
      <c r="AS123" s="179" t="n"/>
      <c r="AT123" s="179" t="n"/>
      <c r="AU123" s="179" t="n"/>
      <c r="AV123" s="179" t="n"/>
      <c r="AW123" s="179" t="n"/>
      <c r="AX123" s="179" t="n"/>
      <c r="AY123" s="179" t="n"/>
      <c r="AZ123" s="179" t="n"/>
      <c r="BA123" s="179" t="n"/>
      <c r="BB123" s="179" t="n"/>
      <c r="BC123" s="179" t="n"/>
      <c r="BD123" s="179" t="n"/>
      <c r="BE123" s="179" t="n"/>
      <c r="BF123" s="179" t="n"/>
      <c r="BG123" s="179" t="n"/>
      <c r="BH123" s="179" t="n"/>
      <c r="BI123" s="179" t="n"/>
      <c r="BJ123" s="179" t="n"/>
      <c r="BK123" s="179" t="n"/>
      <c r="BL123" s="179" t="n"/>
      <c r="BM123" s="179" t="n"/>
      <c r="BN123" s="179" t="n"/>
      <c r="BO123" s="179" t="n"/>
      <c r="BP123" s="179" t="n"/>
      <c r="BQ123" s="179" t="n"/>
      <c r="BR123" s="179" t="n"/>
      <c r="BS123" s="179" t="n"/>
      <c r="BT123" s="179" t="n"/>
      <c r="BU123" s="179" t="n"/>
      <c r="BV123" s="179" t="n"/>
      <c r="BW123" s="179" t="n"/>
      <c r="BX123" s="179" t="n"/>
      <c r="BY123" s="179" t="n"/>
      <c r="BZ123" s="179" t="n"/>
      <c r="CA123" s="179" t="n"/>
      <c r="CB123" s="179" t="n"/>
      <c r="CC123" s="179" t="n"/>
      <c r="CD123" s="179" t="n"/>
      <c r="CE123" s="179" t="n"/>
      <c r="CF123" s="179" t="n"/>
      <c r="CG123" s="179" t="n"/>
      <c r="CH123" s="179" t="n"/>
      <c r="CI123" s="179" t="n"/>
      <c r="CJ123" s="179" t="n"/>
      <c r="CK123" s="179" t="n"/>
      <c r="CL123" s="179" t="n"/>
      <c r="CM123" s="179" t="n"/>
      <c r="CN123" s="179" t="n"/>
      <c r="CO123" s="179" t="n"/>
      <c r="CP123" s="179" t="n"/>
      <c r="CQ123" s="179" t="n"/>
      <c r="CR123" s="179" t="n"/>
      <c r="CS123" s="179" t="n"/>
      <c r="CT123" s="179" t="n"/>
      <c r="CU123" s="179" t="n"/>
      <c r="CV123" s="179" t="n"/>
      <c r="CW123" s="179" t="n"/>
      <c r="CX123" s="179" t="n"/>
      <c r="CY123" s="179" t="n"/>
      <c r="CZ123" s="179" t="n"/>
      <c r="DA123" s="179" t="n"/>
      <c r="DB123" s="179" t="n"/>
      <c r="DC123" s="179" t="n"/>
      <c r="DD123" s="179" t="n"/>
      <c r="DE123" s="179" t="n"/>
      <c r="DF123" s="179" t="n"/>
      <c r="DG123" s="179" t="n"/>
      <c r="DH123" s="179" t="n"/>
      <c r="DI123" s="179" t="n"/>
      <c r="DJ123" s="179" t="n"/>
      <c r="DK123" s="179" t="n"/>
      <c r="DL123" s="179" t="n"/>
      <c r="DM123" s="179" t="n"/>
      <c r="DN123" s="179" t="n"/>
      <c r="DO123" s="179" t="n"/>
      <c r="DP123" s="179" t="n"/>
      <c r="DQ123" s="179" t="n"/>
      <c r="DR123" s="179" t="n"/>
      <c r="DS123" s="179" t="n"/>
      <c r="DT123" s="179" t="n"/>
      <c r="DU123" s="179" t="n"/>
      <c r="DV123" s="179" t="n"/>
      <c r="DW123" s="179" t="n"/>
      <c r="DX123" s="179" t="n"/>
      <c r="DY123" s="179" t="n"/>
      <c r="DZ123" s="179" t="n"/>
      <c r="EA123" s="179" t="n"/>
      <c r="EB123" s="179" t="n"/>
      <c r="EC123" s="179" t="n"/>
      <c r="ED123" s="179" t="n"/>
      <c r="EE123" s="179" t="n"/>
      <c r="EF123" s="179" t="n"/>
      <c r="EG123" s="179" t="n"/>
      <c r="EH123" s="179" t="n"/>
      <c r="EI123" s="179" t="n"/>
      <c r="EJ123" s="179" t="n"/>
      <c r="EK123" s="179" t="n"/>
      <c r="EL123" s="179" t="n"/>
      <c r="EM123" s="179" t="n"/>
      <c r="EN123" s="179" t="n"/>
      <c r="EO123" s="179" t="n"/>
      <c r="EP123" s="179" t="n"/>
      <c r="EQ123" s="179" t="n"/>
      <c r="ER123" s="179" t="n"/>
      <c r="ES123" s="179" t="n"/>
      <c r="ET123" s="179" t="n"/>
      <c r="EU123" s="179" t="n"/>
      <c r="EV123" s="179" t="n"/>
      <c r="EW123" s="179" t="n"/>
      <c r="EX123" s="179" t="n"/>
      <c r="EY123" s="179" t="n"/>
      <c r="EZ123" s="179" t="n"/>
      <c r="FA123" s="179" t="n"/>
      <c r="FB123" s="179" t="n"/>
      <c r="FC123" s="179" t="n"/>
      <c r="FD123" s="179" t="n"/>
      <c r="FE123" s="179" t="n"/>
      <c r="FF123" s="179" t="n"/>
      <c r="FG123" s="179" t="n"/>
      <c r="FH123" s="179" t="n"/>
      <c r="FI123" s="179" t="n"/>
      <c r="FJ123" s="179" t="n"/>
      <c r="FK123" s="179" t="n"/>
      <c r="FL123" s="179" t="n"/>
      <c r="FM123" s="179" t="n"/>
      <c r="FN123" s="179" t="n"/>
      <c r="FO123" s="179" t="n"/>
      <c r="FP123" s="179" t="n"/>
      <c r="FQ123" s="179" t="n"/>
      <c r="FR123" s="179" t="n"/>
      <c r="FS123" s="179" t="n"/>
      <c r="FT123" s="179" t="n"/>
      <c r="FU123" s="179" t="n"/>
      <c r="FV123" s="179" t="n"/>
      <c r="FW123" s="179" t="n"/>
      <c r="FX123" s="179" t="n"/>
      <c r="FY123" s="179" t="n"/>
      <c r="FZ123" s="179" t="n"/>
      <c r="GA123" s="179" t="n"/>
      <c r="GB123" s="179" t="n"/>
      <c r="GC123" s="179" t="n"/>
      <c r="GD123" s="179" t="n"/>
      <c r="GE123" s="179" t="n"/>
      <c r="GF123" s="179" t="n"/>
      <c r="GG123" s="179" t="n"/>
      <c r="GH123" s="179" t="n"/>
      <c r="GI123" s="179" t="n"/>
      <c r="GJ123" s="179" t="n"/>
      <c r="GK123" s="179" t="n"/>
      <c r="GL123" s="179" t="n"/>
      <c r="GM123" s="179" t="n"/>
      <c r="GN123" s="179" t="n"/>
      <c r="GO123" s="179" t="n"/>
      <c r="GP123" s="179" t="n"/>
      <c r="GQ123" s="179" t="n"/>
      <c r="GR123" s="179" t="n"/>
      <c r="GS123" s="179" t="n"/>
      <c r="GT123" s="179" t="n"/>
      <c r="GU123" s="179" t="n"/>
      <c r="GV123" s="179" t="n"/>
      <c r="GW123" s="179" t="n"/>
      <c r="GX123" s="179" t="n"/>
      <c r="GY123" s="179" t="n"/>
      <c r="GZ123" s="179" t="n"/>
      <c r="HA123" s="179" t="n"/>
      <c r="HB123" s="179" t="n"/>
      <c r="HC123" s="179" t="n"/>
      <c r="HD123" s="179" t="n"/>
      <c r="HE123" s="179" t="n"/>
      <c r="HF123" s="179" t="n"/>
      <c r="HG123" s="179" t="n"/>
      <c r="HH123" s="179" t="n"/>
      <c r="HI123" s="179" t="n"/>
      <c r="HJ123" s="179" t="n"/>
      <c r="HK123" s="179" t="n"/>
      <c r="HL123" s="179" t="n"/>
      <c r="HM123" s="179" t="n"/>
      <c r="HN123" s="179" t="n"/>
      <c r="HO123" s="179" t="n"/>
      <c r="HP123" s="179" t="n"/>
      <c r="HQ123" s="179" t="n"/>
      <c r="HR123" s="179" t="n"/>
      <c r="HS123" s="179" t="n"/>
      <c r="HT123" s="179" t="n"/>
      <c r="HU123" s="179" t="n"/>
      <c r="HV123" s="179" t="n"/>
      <c r="HW123" s="179" t="n"/>
      <c r="HX123" s="179" t="n"/>
      <c r="HY123" s="179" t="n"/>
      <c r="HZ123" s="179" t="n"/>
      <c r="IA123" s="179" t="n"/>
      <c r="IB123" s="179" t="n"/>
      <c r="IC123" s="179" t="n"/>
      <c r="ID123" s="179" t="n"/>
      <c r="IE123" s="179" t="n"/>
      <c r="IF123" s="179" t="n"/>
      <c r="IG123" s="179" t="n"/>
      <c r="IH123" s="179" t="n"/>
      <c r="II123" s="179" t="n"/>
      <c r="IJ123" s="179" t="n"/>
      <c r="IK123" s="179" t="n"/>
      <c r="IL123" s="179" t="n"/>
      <c r="IM123" s="179" t="n"/>
      <c r="IN123" s="179" t="n"/>
      <c r="IO123" s="179" t="n"/>
      <c r="IP123" s="179" t="n"/>
      <c r="IQ123" s="179" t="n"/>
      <c r="IR123" s="179" t="n"/>
      <c r="IS123" s="179" t="n"/>
      <c r="IT123" s="179" t="n"/>
      <c r="IU123" s="179" t="n"/>
      <c r="IV123" s="179" t="n"/>
    </row>
    <row r="124" ht="16.5" customFormat="1" customHeight="1" s="525">
      <c r="A124" s="580" t="n"/>
      <c r="B124" s="43" t="n"/>
      <c r="C124" s="45" t="n"/>
      <c r="D124" s="45" t="n"/>
      <c r="E124" s="45" t="n"/>
      <c r="F124" s="45" t="n"/>
      <c r="G124" s="45" t="n"/>
      <c r="H124" s="45" t="n"/>
      <c r="I124" s="161">
        <f>IF(COUNTBLANK(B124:H124)=7,"","PLAOIH")</f>
        <v/>
      </c>
      <c r="J124" s="182" t="n"/>
      <c r="K124" s="179" t="n"/>
      <c r="L124" s="179" t="n"/>
      <c r="M124" s="179" t="n"/>
      <c r="N124" s="179" t="n"/>
      <c r="O124" s="179" t="n"/>
      <c r="P124" s="179" t="n"/>
      <c r="Q124" s="179" t="n"/>
      <c r="R124" s="179" t="n"/>
      <c r="S124" s="179" t="n"/>
      <c r="T124" s="179" t="n"/>
      <c r="U124" s="179" t="n"/>
      <c r="V124" s="179" t="n"/>
      <c r="W124" s="179" t="n"/>
      <c r="X124" s="179" t="n"/>
      <c r="Y124" s="179" t="n"/>
      <c r="Z124" s="179" t="n"/>
      <c r="AA124" s="179" t="n"/>
      <c r="AB124" s="179" t="n"/>
      <c r="AC124" s="179" t="n"/>
      <c r="AD124" s="179" t="n"/>
      <c r="AE124" s="179" t="n"/>
      <c r="AF124" s="179" t="n"/>
      <c r="AG124" s="179" t="n"/>
      <c r="AH124" s="179" t="n"/>
      <c r="AI124" s="179" t="n"/>
      <c r="AJ124" s="179" t="n"/>
      <c r="AK124" s="179" t="n"/>
      <c r="AL124" s="179" t="n"/>
      <c r="AM124" s="179" t="n"/>
      <c r="AN124" s="179" t="n"/>
      <c r="AO124" s="179" t="n"/>
      <c r="AP124" s="179" t="n"/>
      <c r="AQ124" s="179" t="n"/>
      <c r="AR124" s="179" t="n"/>
      <c r="AS124" s="179" t="n"/>
      <c r="AT124" s="179" t="n"/>
      <c r="AU124" s="179" t="n"/>
      <c r="AV124" s="179" t="n"/>
      <c r="AW124" s="179" t="n"/>
      <c r="AX124" s="179" t="n"/>
      <c r="AY124" s="179" t="n"/>
      <c r="AZ124" s="179" t="n"/>
      <c r="BA124" s="179" t="n"/>
      <c r="BB124" s="179" t="n"/>
      <c r="BC124" s="179" t="n"/>
      <c r="BD124" s="179" t="n"/>
      <c r="BE124" s="179" t="n"/>
      <c r="BF124" s="179" t="n"/>
      <c r="BG124" s="179" t="n"/>
      <c r="BH124" s="179" t="n"/>
      <c r="BI124" s="179" t="n"/>
      <c r="BJ124" s="179" t="n"/>
      <c r="BK124" s="179" t="n"/>
      <c r="BL124" s="179" t="n"/>
      <c r="BM124" s="179" t="n"/>
      <c r="BN124" s="179" t="n"/>
      <c r="BO124" s="179" t="n"/>
      <c r="BP124" s="179" t="n"/>
      <c r="BQ124" s="179" t="n"/>
      <c r="BR124" s="179" t="n"/>
      <c r="BS124" s="179" t="n"/>
      <c r="BT124" s="179" t="n"/>
      <c r="BU124" s="179" t="n"/>
      <c r="BV124" s="179" t="n"/>
      <c r="BW124" s="179" t="n"/>
      <c r="BX124" s="179" t="n"/>
      <c r="BY124" s="179" t="n"/>
      <c r="BZ124" s="179" t="n"/>
      <c r="CA124" s="179" t="n"/>
      <c r="CB124" s="179" t="n"/>
      <c r="CC124" s="179" t="n"/>
      <c r="CD124" s="179" t="n"/>
      <c r="CE124" s="179" t="n"/>
      <c r="CF124" s="179" t="n"/>
      <c r="CG124" s="179" t="n"/>
      <c r="CH124" s="179" t="n"/>
      <c r="CI124" s="179" t="n"/>
      <c r="CJ124" s="179" t="n"/>
      <c r="CK124" s="179" t="n"/>
      <c r="CL124" s="179" t="n"/>
      <c r="CM124" s="179" t="n"/>
      <c r="CN124" s="179" t="n"/>
      <c r="CO124" s="179" t="n"/>
      <c r="CP124" s="179" t="n"/>
      <c r="CQ124" s="179" t="n"/>
      <c r="CR124" s="179" t="n"/>
      <c r="CS124" s="179" t="n"/>
      <c r="CT124" s="179" t="n"/>
      <c r="CU124" s="179" t="n"/>
      <c r="CV124" s="179" t="n"/>
      <c r="CW124" s="179" t="n"/>
      <c r="CX124" s="179" t="n"/>
      <c r="CY124" s="179" t="n"/>
      <c r="CZ124" s="179" t="n"/>
      <c r="DA124" s="179" t="n"/>
      <c r="DB124" s="179" t="n"/>
      <c r="DC124" s="179" t="n"/>
      <c r="DD124" s="179" t="n"/>
      <c r="DE124" s="179" t="n"/>
      <c r="DF124" s="179" t="n"/>
      <c r="DG124" s="179" t="n"/>
      <c r="DH124" s="179" t="n"/>
      <c r="DI124" s="179" t="n"/>
      <c r="DJ124" s="179" t="n"/>
      <c r="DK124" s="179" t="n"/>
      <c r="DL124" s="179" t="n"/>
      <c r="DM124" s="179" t="n"/>
      <c r="DN124" s="179" t="n"/>
      <c r="DO124" s="179" t="n"/>
      <c r="DP124" s="179" t="n"/>
      <c r="DQ124" s="179" t="n"/>
      <c r="DR124" s="179" t="n"/>
      <c r="DS124" s="179" t="n"/>
      <c r="DT124" s="179" t="n"/>
      <c r="DU124" s="179" t="n"/>
      <c r="DV124" s="179" t="n"/>
      <c r="DW124" s="179" t="n"/>
      <c r="DX124" s="179" t="n"/>
      <c r="DY124" s="179" t="n"/>
      <c r="DZ124" s="179" t="n"/>
      <c r="EA124" s="179" t="n"/>
      <c r="EB124" s="179" t="n"/>
      <c r="EC124" s="179" t="n"/>
      <c r="ED124" s="179" t="n"/>
      <c r="EE124" s="179" t="n"/>
      <c r="EF124" s="179" t="n"/>
      <c r="EG124" s="179" t="n"/>
      <c r="EH124" s="179" t="n"/>
      <c r="EI124" s="179" t="n"/>
      <c r="EJ124" s="179" t="n"/>
      <c r="EK124" s="179" t="n"/>
      <c r="EL124" s="179" t="n"/>
      <c r="EM124" s="179" t="n"/>
      <c r="EN124" s="179" t="n"/>
      <c r="EO124" s="179" t="n"/>
      <c r="EP124" s="179" t="n"/>
      <c r="EQ124" s="179" t="n"/>
      <c r="ER124" s="179" t="n"/>
      <c r="ES124" s="179" t="n"/>
      <c r="ET124" s="179" t="n"/>
      <c r="EU124" s="179" t="n"/>
      <c r="EV124" s="179" t="n"/>
      <c r="EW124" s="179" t="n"/>
      <c r="EX124" s="179" t="n"/>
      <c r="EY124" s="179" t="n"/>
      <c r="EZ124" s="179" t="n"/>
      <c r="FA124" s="179" t="n"/>
      <c r="FB124" s="179" t="n"/>
      <c r="FC124" s="179" t="n"/>
      <c r="FD124" s="179" t="n"/>
      <c r="FE124" s="179" t="n"/>
      <c r="FF124" s="179" t="n"/>
      <c r="FG124" s="179" t="n"/>
      <c r="FH124" s="179" t="n"/>
      <c r="FI124" s="179" t="n"/>
      <c r="FJ124" s="179" t="n"/>
      <c r="FK124" s="179" t="n"/>
      <c r="FL124" s="179" t="n"/>
      <c r="FM124" s="179" t="n"/>
      <c r="FN124" s="179" t="n"/>
      <c r="FO124" s="179" t="n"/>
      <c r="FP124" s="179" t="n"/>
      <c r="FQ124" s="179" t="n"/>
      <c r="FR124" s="179" t="n"/>
      <c r="FS124" s="179" t="n"/>
      <c r="FT124" s="179" t="n"/>
      <c r="FU124" s="179" t="n"/>
      <c r="FV124" s="179" t="n"/>
      <c r="FW124" s="179" t="n"/>
      <c r="FX124" s="179" t="n"/>
      <c r="FY124" s="179" t="n"/>
      <c r="FZ124" s="179" t="n"/>
      <c r="GA124" s="179" t="n"/>
      <c r="GB124" s="179" t="n"/>
      <c r="GC124" s="179" t="n"/>
      <c r="GD124" s="179" t="n"/>
      <c r="GE124" s="179" t="n"/>
      <c r="GF124" s="179" t="n"/>
      <c r="GG124" s="179" t="n"/>
      <c r="GH124" s="179" t="n"/>
      <c r="GI124" s="179" t="n"/>
      <c r="GJ124" s="179" t="n"/>
      <c r="GK124" s="179" t="n"/>
      <c r="GL124" s="179" t="n"/>
      <c r="GM124" s="179" t="n"/>
      <c r="GN124" s="179" t="n"/>
      <c r="GO124" s="179" t="n"/>
      <c r="GP124" s="179" t="n"/>
      <c r="GQ124" s="179" t="n"/>
      <c r="GR124" s="179" t="n"/>
      <c r="GS124" s="179" t="n"/>
      <c r="GT124" s="179" t="n"/>
      <c r="GU124" s="179" t="n"/>
      <c r="GV124" s="179" t="n"/>
      <c r="GW124" s="179" t="n"/>
      <c r="GX124" s="179" t="n"/>
      <c r="GY124" s="179" t="n"/>
      <c r="GZ124" s="179" t="n"/>
      <c r="HA124" s="179" t="n"/>
      <c r="HB124" s="179" t="n"/>
      <c r="HC124" s="179" t="n"/>
      <c r="HD124" s="179" t="n"/>
      <c r="HE124" s="179" t="n"/>
      <c r="HF124" s="179" t="n"/>
      <c r="HG124" s="179" t="n"/>
      <c r="HH124" s="179" t="n"/>
      <c r="HI124" s="179" t="n"/>
      <c r="HJ124" s="179" t="n"/>
      <c r="HK124" s="179" t="n"/>
      <c r="HL124" s="179" t="n"/>
      <c r="HM124" s="179" t="n"/>
      <c r="HN124" s="179" t="n"/>
      <c r="HO124" s="179" t="n"/>
      <c r="HP124" s="179" t="n"/>
      <c r="HQ124" s="179" t="n"/>
      <c r="HR124" s="179" t="n"/>
      <c r="HS124" s="179" t="n"/>
      <c r="HT124" s="179" t="n"/>
      <c r="HU124" s="179" t="n"/>
      <c r="HV124" s="179" t="n"/>
      <c r="HW124" s="179" t="n"/>
      <c r="HX124" s="179" t="n"/>
      <c r="HY124" s="179" t="n"/>
      <c r="HZ124" s="179" t="n"/>
      <c r="IA124" s="179" t="n"/>
      <c r="IB124" s="179" t="n"/>
      <c r="IC124" s="179" t="n"/>
      <c r="ID124" s="179" t="n"/>
      <c r="IE124" s="179" t="n"/>
      <c r="IF124" s="179" t="n"/>
      <c r="IG124" s="179" t="n"/>
      <c r="IH124" s="179" t="n"/>
      <c r="II124" s="179" t="n"/>
      <c r="IJ124" s="179" t="n"/>
      <c r="IK124" s="179" t="n"/>
      <c r="IL124" s="179" t="n"/>
      <c r="IM124" s="179" t="n"/>
      <c r="IN124" s="179" t="n"/>
      <c r="IO124" s="179" t="n"/>
      <c r="IP124" s="179" t="n"/>
      <c r="IQ124" s="179" t="n"/>
      <c r="IR124" s="179" t="n"/>
      <c r="IS124" s="179" t="n"/>
      <c r="IT124" s="179" t="n"/>
      <c r="IU124" s="179" t="n"/>
      <c r="IV124" s="179" t="n"/>
    </row>
    <row r="125" ht="16.5" customFormat="1" customHeight="1" s="525">
      <c r="A125" s="580" t="n"/>
      <c r="B125" s="43" t="n"/>
      <c r="C125" s="45" t="n"/>
      <c r="D125" s="45" t="n"/>
      <c r="E125" s="45" t="n"/>
      <c r="F125" s="45" t="n"/>
      <c r="G125" s="45" t="n"/>
      <c r="H125" s="45" t="n"/>
      <c r="I125" s="161">
        <f>IF(COUNTBLANK(B125:H125)=7,"","PLAOIH")</f>
        <v/>
      </c>
      <c r="J125" s="182" t="n"/>
      <c r="K125" s="179" t="n"/>
      <c r="L125" s="179" t="n"/>
      <c r="M125" s="179" t="n"/>
      <c r="N125" s="179" t="n"/>
      <c r="O125" s="179" t="n"/>
      <c r="P125" s="179" t="n"/>
      <c r="Q125" s="179" t="n"/>
      <c r="R125" s="179" t="n"/>
      <c r="S125" s="179" t="n"/>
      <c r="T125" s="179" t="n"/>
      <c r="U125" s="179" t="n"/>
      <c r="V125" s="179" t="n"/>
      <c r="W125" s="179" t="n"/>
      <c r="X125" s="179" t="n"/>
      <c r="Y125" s="179" t="n"/>
      <c r="Z125" s="179" t="n"/>
      <c r="AA125" s="179" t="n"/>
      <c r="AB125" s="179" t="n"/>
      <c r="AC125" s="179" t="n"/>
      <c r="AD125" s="179" t="n"/>
      <c r="AE125" s="179" t="n"/>
      <c r="AF125" s="179" t="n"/>
      <c r="AG125" s="179" t="n"/>
      <c r="AH125" s="179" t="n"/>
      <c r="AI125" s="179" t="n"/>
      <c r="AJ125" s="179" t="n"/>
      <c r="AK125" s="179" t="n"/>
      <c r="AL125" s="179" t="n"/>
      <c r="AM125" s="179" t="n"/>
      <c r="AN125" s="179" t="n"/>
      <c r="AO125" s="179" t="n"/>
      <c r="AP125" s="179" t="n"/>
      <c r="AQ125" s="179" t="n"/>
      <c r="AR125" s="179" t="n"/>
      <c r="AS125" s="179" t="n"/>
      <c r="AT125" s="179" t="n"/>
      <c r="AU125" s="179" t="n"/>
      <c r="AV125" s="179" t="n"/>
      <c r="AW125" s="179" t="n"/>
      <c r="AX125" s="179" t="n"/>
      <c r="AY125" s="179" t="n"/>
      <c r="AZ125" s="179" t="n"/>
      <c r="BA125" s="179" t="n"/>
      <c r="BB125" s="179" t="n"/>
      <c r="BC125" s="179" t="n"/>
      <c r="BD125" s="179" t="n"/>
      <c r="BE125" s="179" t="n"/>
      <c r="BF125" s="179" t="n"/>
      <c r="BG125" s="179" t="n"/>
      <c r="BH125" s="179" t="n"/>
      <c r="BI125" s="179" t="n"/>
      <c r="BJ125" s="179" t="n"/>
      <c r="BK125" s="179" t="n"/>
      <c r="BL125" s="179" t="n"/>
      <c r="BM125" s="179" t="n"/>
      <c r="BN125" s="179" t="n"/>
      <c r="BO125" s="179" t="n"/>
      <c r="BP125" s="179" t="n"/>
      <c r="BQ125" s="179" t="n"/>
      <c r="BR125" s="179" t="n"/>
      <c r="BS125" s="179" t="n"/>
      <c r="BT125" s="179" t="n"/>
      <c r="BU125" s="179" t="n"/>
      <c r="BV125" s="179" t="n"/>
      <c r="BW125" s="179" t="n"/>
      <c r="BX125" s="179" t="n"/>
      <c r="BY125" s="179" t="n"/>
      <c r="BZ125" s="179" t="n"/>
      <c r="CA125" s="179" t="n"/>
      <c r="CB125" s="179" t="n"/>
      <c r="CC125" s="179" t="n"/>
      <c r="CD125" s="179" t="n"/>
      <c r="CE125" s="179" t="n"/>
      <c r="CF125" s="179" t="n"/>
      <c r="CG125" s="179" t="n"/>
      <c r="CH125" s="179" t="n"/>
      <c r="CI125" s="179" t="n"/>
      <c r="CJ125" s="179" t="n"/>
      <c r="CK125" s="179" t="n"/>
      <c r="CL125" s="179" t="n"/>
      <c r="CM125" s="179" t="n"/>
      <c r="CN125" s="179" t="n"/>
      <c r="CO125" s="179" t="n"/>
      <c r="CP125" s="179" t="n"/>
      <c r="CQ125" s="179" t="n"/>
      <c r="CR125" s="179" t="n"/>
      <c r="CS125" s="179" t="n"/>
      <c r="CT125" s="179" t="n"/>
      <c r="CU125" s="179" t="n"/>
      <c r="CV125" s="179" t="n"/>
      <c r="CW125" s="179" t="n"/>
      <c r="CX125" s="179" t="n"/>
      <c r="CY125" s="179" t="n"/>
      <c r="CZ125" s="179" t="n"/>
      <c r="DA125" s="179" t="n"/>
      <c r="DB125" s="179" t="n"/>
      <c r="DC125" s="179" t="n"/>
      <c r="DD125" s="179" t="n"/>
      <c r="DE125" s="179" t="n"/>
      <c r="DF125" s="179" t="n"/>
      <c r="DG125" s="179" t="n"/>
      <c r="DH125" s="179" t="n"/>
      <c r="DI125" s="179" t="n"/>
      <c r="DJ125" s="179" t="n"/>
      <c r="DK125" s="179" t="n"/>
      <c r="DL125" s="179" t="n"/>
      <c r="DM125" s="179" t="n"/>
      <c r="DN125" s="179" t="n"/>
      <c r="DO125" s="179" t="n"/>
      <c r="DP125" s="179" t="n"/>
      <c r="DQ125" s="179" t="n"/>
      <c r="DR125" s="179" t="n"/>
      <c r="DS125" s="179" t="n"/>
      <c r="DT125" s="179" t="n"/>
      <c r="DU125" s="179" t="n"/>
      <c r="DV125" s="179" t="n"/>
      <c r="DW125" s="179" t="n"/>
      <c r="DX125" s="179" t="n"/>
      <c r="DY125" s="179" t="n"/>
      <c r="DZ125" s="179" t="n"/>
      <c r="EA125" s="179" t="n"/>
      <c r="EB125" s="179" t="n"/>
      <c r="EC125" s="179" t="n"/>
      <c r="ED125" s="179" t="n"/>
      <c r="EE125" s="179" t="n"/>
      <c r="EF125" s="179" t="n"/>
      <c r="EG125" s="179" t="n"/>
      <c r="EH125" s="179" t="n"/>
      <c r="EI125" s="179" t="n"/>
      <c r="EJ125" s="179" t="n"/>
      <c r="EK125" s="179" t="n"/>
      <c r="EL125" s="179" t="n"/>
      <c r="EM125" s="179" t="n"/>
      <c r="EN125" s="179" t="n"/>
      <c r="EO125" s="179" t="n"/>
      <c r="EP125" s="179" t="n"/>
      <c r="EQ125" s="179" t="n"/>
      <c r="ER125" s="179" t="n"/>
      <c r="ES125" s="179" t="n"/>
      <c r="ET125" s="179" t="n"/>
      <c r="EU125" s="179" t="n"/>
      <c r="EV125" s="179" t="n"/>
      <c r="EW125" s="179" t="n"/>
      <c r="EX125" s="179" t="n"/>
      <c r="EY125" s="179" t="n"/>
      <c r="EZ125" s="179" t="n"/>
      <c r="FA125" s="179" t="n"/>
      <c r="FB125" s="179" t="n"/>
      <c r="FC125" s="179" t="n"/>
      <c r="FD125" s="179" t="n"/>
      <c r="FE125" s="179" t="n"/>
      <c r="FF125" s="179" t="n"/>
      <c r="FG125" s="179" t="n"/>
      <c r="FH125" s="179" t="n"/>
      <c r="FI125" s="179" t="n"/>
      <c r="FJ125" s="179" t="n"/>
      <c r="FK125" s="179" t="n"/>
      <c r="FL125" s="179" t="n"/>
      <c r="FM125" s="179" t="n"/>
      <c r="FN125" s="179" t="n"/>
      <c r="FO125" s="179" t="n"/>
      <c r="FP125" s="179" t="n"/>
      <c r="FQ125" s="179" t="n"/>
      <c r="FR125" s="179" t="n"/>
      <c r="FS125" s="179" t="n"/>
      <c r="FT125" s="179" t="n"/>
      <c r="FU125" s="179" t="n"/>
      <c r="FV125" s="179" t="n"/>
      <c r="FW125" s="179" t="n"/>
      <c r="FX125" s="179" t="n"/>
      <c r="FY125" s="179" t="n"/>
      <c r="FZ125" s="179" t="n"/>
      <c r="GA125" s="179" t="n"/>
      <c r="GB125" s="179" t="n"/>
      <c r="GC125" s="179" t="n"/>
      <c r="GD125" s="179" t="n"/>
      <c r="GE125" s="179" t="n"/>
      <c r="GF125" s="179" t="n"/>
      <c r="GG125" s="179" t="n"/>
      <c r="GH125" s="179" t="n"/>
      <c r="GI125" s="179" t="n"/>
      <c r="GJ125" s="179" t="n"/>
      <c r="GK125" s="179" t="n"/>
      <c r="GL125" s="179" t="n"/>
      <c r="GM125" s="179" t="n"/>
      <c r="GN125" s="179" t="n"/>
      <c r="GO125" s="179" t="n"/>
      <c r="GP125" s="179" t="n"/>
      <c r="GQ125" s="179" t="n"/>
      <c r="GR125" s="179" t="n"/>
      <c r="GS125" s="179" t="n"/>
      <c r="GT125" s="179" t="n"/>
      <c r="GU125" s="179" t="n"/>
      <c r="GV125" s="179" t="n"/>
      <c r="GW125" s="179" t="n"/>
      <c r="GX125" s="179" t="n"/>
      <c r="GY125" s="179" t="n"/>
      <c r="GZ125" s="179" t="n"/>
      <c r="HA125" s="179" t="n"/>
      <c r="HB125" s="179" t="n"/>
      <c r="HC125" s="179" t="n"/>
      <c r="HD125" s="179" t="n"/>
      <c r="HE125" s="179" t="n"/>
      <c r="HF125" s="179" t="n"/>
      <c r="HG125" s="179" t="n"/>
      <c r="HH125" s="179" t="n"/>
      <c r="HI125" s="179" t="n"/>
      <c r="HJ125" s="179" t="n"/>
      <c r="HK125" s="179" t="n"/>
      <c r="HL125" s="179" t="n"/>
      <c r="HM125" s="179" t="n"/>
      <c r="HN125" s="179" t="n"/>
      <c r="HO125" s="179" t="n"/>
      <c r="HP125" s="179" t="n"/>
      <c r="HQ125" s="179" t="n"/>
      <c r="HR125" s="179" t="n"/>
      <c r="HS125" s="179" t="n"/>
      <c r="HT125" s="179" t="n"/>
      <c r="HU125" s="179" t="n"/>
      <c r="HV125" s="179" t="n"/>
      <c r="HW125" s="179" t="n"/>
      <c r="HX125" s="179" t="n"/>
      <c r="HY125" s="179" t="n"/>
      <c r="HZ125" s="179" t="n"/>
      <c r="IA125" s="179" t="n"/>
      <c r="IB125" s="179" t="n"/>
      <c r="IC125" s="179" t="n"/>
      <c r="ID125" s="179" t="n"/>
      <c r="IE125" s="179" t="n"/>
      <c r="IF125" s="179" t="n"/>
      <c r="IG125" s="179" t="n"/>
      <c r="IH125" s="179" t="n"/>
      <c r="II125" s="179" t="n"/>
      <c r="IJ125" s="179" t="n"/>
      <c r="IK125" s="179" t="n"/>
      <c r="IL125" s="179" t="n"/>
      <c r="IM125" s="179" t="n"/>
      <c r="IN125" s="179" t="n"/>
      <c r="IO125" s="179" t="n"/>
      <c r="IP125" s="179" t="n"/>
      <c r="IQ125" s="179" t="n"/>
      <c r="IR125" s="179" t="n"/>
      <c r="IS125" s="179" t="n"/>
      <c r="IT125" s="179" t="n"/>
      <c r="IU125" s="179" t="n"/>
      <c r="IV125" s="179" t="n"/>
    </row>
    <row r="126" ht="16.5" customFormat="1" customHeight="1" s="525">
      <c r="A126" s="580" t="n"/>
      <c r="B126" s="43" t="n"/>
      <c r="C126" s="45" t="n"/>
      <c r="D126" s="45" t="n"/>
      <c r="E126" s="45" t="n"/>
      <c r="F126" s="45" t="n"/>
      <c r="G126" s="45" t="n"/>
      <c r="H126" s="45" t="n"/>
      <c r="I126" s="161">
        <f>IF(COUNTBLANK(B126:H126)=7,"","PLAOIH")</f>
        <v/>
      </c>
      <c r="J126" s="182" t="n"/>
      <c r="K126" s="179" t="n"/>
      <c r="L126" s="179" t="n"/>
      <c r="M126" s="179" t="n"/>
      <c r="N126" s="179" t="n"/>
      <c r="O126" s="179" t="n"/>
      <c r="P126" s="179" t="n"/>
      <c r="Q126" s="179" t="n"/>
      <c r="R126" s="179" t="n"/>
      <c r="S126" s="179" t="n"/>
      <c r="T126" s="179" t="n"/>
      <c r="U126" s="179" t="n"/>
      <c r="V126" s="179" t="n"/>
      <c r="W126" s="179" t="n"/>
      <c r="X126" s="179" t="n"/>
      <c r="Y126" s="179" t="n"/>
      <c r="Z126" s="179" t="n"/>
      <c r="AA126" s="179" t="n"/>
      <c r="AB126" s="179" t="n"/>
      <c r="AC126" s="179" t="n"/>
      <c r="AD126" s="179" t="n"/>
      <c r="AE126" s="179" t="n"/>
      <c r="AF126" s="179" t="n"/>
      <c r="AG126" s="179" t="n"/>
      <c r="AH126" s="179" t="n"/>
      <c r="AI126" s="179" t="n"/>
      <c r="AJ126" s="179" t="n"/>
      <c r="AK126" s="179" t="n"/>
      <c r="AL126" s="179" t="n"/>
      <c r="AM126" s="179" t="n"/>
      <c r="AN126" s="179" t="n"/>
      <c r="AO126" s="179" t="n"/>
      <c r="AP126" s="179" t="n"/>
      <c r="AQ126" s="179" t="n"/>
      <c r="AR126" s="179" t="n"/>
      <c r="AS126" s="179" t="n"/>
      <c r="AT126" s="179" t="n"/>
      <c r="AU126" s="179" t="n"/>
      <c r="AV126" s="179" t="n"/>
      <c r="AW126" s="179" t="n"/>
      <c r="AX126" s="179" t="n"/>
      <c r="AY126" s="179" t="n"/>
      <c r="AZ126" s="179" t="n"/>
      <c r="BA126" s="179" t="n"/>
      <c r="BB126" s="179" t="n"/>
      <c r="BC126" s="179" t="n"/>
      <c r="BD126" s="179" t="n"/>
      <c r="BE126" s="179" t="n"/>
      <c r="BF126" s="179" t="n"/>
      <c r="BG126" s="179" t="n"/>
      <c r="BH126" s="179" t="n"/>
      <c r="BI126" s="179" t="n"/>
      <c r="BJ126" s="179" t="n"/>
      <c r="BK126" s="179" t="n"/>
      <c r="BL126" s="179" t="n"/>
      <c r="BM126" s="179" t="n"/>
      <c r="BN126" s="179" t="n"/>
      <c r="BO126" s="179" t="n"/>
      <c r="BP126" s="179" t="n"/>
      <c r="BQ126" s="179" t="n"/>
      <c r="BR126" s="179" t="n"/>
      <c r="BS126" s="179" t="n"/>
      <c r="BT126" s="179" t="n"/>
      <c r="BU126" s="179" t="n"/>
      <c r="BV126" s="179" t="n"/>
      <c r="BW126" s="179" t="n"/>
      <c r="BX126" s="179" t="n"/>
      <c r="BY126" s="179" t="n"/>
      <c r="BZ126" s="179" t="n"/>
      <c r="CA126" s="179" t="n"/>
      <c r="CB126" s="179" t="n"/>
      <c r="CC126" s="179" t="n"/>
      <c r="CD126" s="179" t="n"/>
      <c r="CE126" s="179" t="n"/>
      <c r="CF126" s="179" t="n"/>
      <c r="CG126" s="179" t="n"/>
      <c r="CH126" s="179" t="n"/>
      <c r="CI126" s="179" t="n"/>
      <c r="CJ126" s="179" t="n"/>
      <c r="CK126" s="179" t="n"/>
      <c r="CL126" s="179" t="n"/>
      <c r="CM126" s="179" t="n"/>
      <c r="CN126" s="179" t="n"/>
      <c r="CO126" s="179" t="n"/>
      <c r="CP126" s="179" t="n"/>
      <c r="CQ126" s="179" t="n"/>
      <c r="CR126" s="179" t="n"/>
      <c r="CS126" s="179" t="n"/>
      <c r="CT126" s="179" t="n"/>
      <c r="CU126" s="179" t="n"/>
      <c r="CV126" s="179" t="n"/>
      <c r="CW126" s="179" t="n"/>
      <c r="CX126" s="179" t="n"/>
      <c r="CY126" s="179" t="n"/>
      <c r="CZ126" s="179" t="n"/>
      <c r="DA126" s="179" t="n"/>
      <c r="DB126" s="179" t="n"/>
      <c r="DC126" s="179" t="n"/>
      <c r="DD126" s="179" t="n"/>
      <c r="DE126" s="179" t="n"/>
      <c r="DF126" s="179" t="n"/>
      <c r="DG126" s="179" t="n"/>
      <c r="DH126" s="179" t="n"/>
      <c r="DI126" s="179" t="n"/>
      <c r="DJ126" s="179" t="n"/>
      <c r="DK126" s="179" t="n"/>
      <c r="DL126" s="179" t="n"/>
      <c r="DM126" s="179" t="n"/>
      <c r="DN126" s="179" t="n"/>
      <c r="DO126" s="179" t="n"/>
      <c r="DP126" s="179" t="n"/>
      <c r="DQ126" s="179" t="n"/>
      <c r="DR126" s="179" t="n"/>
      <c r="DS126" s="179" t="n"/>
      <c r="DT126" s="179" t="n"/>
      <c r="DU126" s="179" t="n"/>
      <c r="DV126" s="179" t="n"/>
      <c r="DW126" s="179" t="n"/>
      <c r="DX126" s="179" t="n"/>
      <c r="DY126" s="179" t="n"/>
      <c r="DZ126" s="179" t="n"/>
      <c r="EA126" s="179" t="n"/>
      <c r="EB126" s="179" t="n"/>
      <c r="EC126" s="179" t="n"/>
      <c r="ED126" s="179" t="n"/>
      <c r="EE126" s="179" t="n"/>
      <c r="EF126" s="179" t="n"/>
      <c r="EG126" s="179" t="n"/>
      <c r="EH126" s="179" t="n"/>
      <c r="EI126" s="179" t="n"/>
      <c r="EJ126" s="179" t="n"/>
      <c r="EK126" s="179" t="n"/>
      <c r="EL126" s="179" t="n"/>
      <c r="EM126" s="179" t="n"/>
      <c r="EN126" s="179" t="n"/>
      <c r="EO126" s="179" t="n"/>
      <c r="EP126" s="179" t="n"/>
      <c r="EQ126" s="179" t="n"/>
      <c r="ER126" s="179" t="n"/>
      <c r="ES126" s="179" t="n"/>
      <c r="ET126" s="179" t="n"/>
      <c r="EU126" s="179" t="n"/>
      <c r="EV126" s="179" t="n"/>
      <c r="EW126" s="179" t="n"/>
      <c r="EX126" s="179" t="n"/>
      <c r="EY126" s="179" t="n"/>
      <c r="EZ126" s="179" t="n"/>
      <c r="FA126" s="179" t="n"/>
      <c r="FB126" s="179" t="n"/>
      <c r="FC126" s="179" t="n"/>
      <c r="FD126" s="179" t="n"/>
      <c r="FE126" s="179" t="n"/>
      <c r="FF126" s="179" t="n"/>
      <c r="FG126" s="179" t="n"/>
      <c r="FH126" s="179" t="n"/>
      <c r="FI126" s="179" t="n"/>
      <c r="FJ126" s="179" t="n"/>
      <c r="FK126" s="179" t="n"/>
      <c r="FL126" s="179" t="n"/>
      <c r="FM126" s="179" t="n"/>
      <c r="FN126" s="179" t="n"/>
      <c r="FO126" s="179" t="n"/>
      <c r="FP126" s="179" t="n"/>
      <c r="FQ126" s="179" t="n"/>
      <c r="FR126" s="179" t="n"/>
      <c r="FS126" s="179" t="n"/>
      <c r="FT126" s="179" t="n"/>
      <c r="FU126" s="179" t="n"/>
      <c r="FV126" s="179" t="n"/>
      <c r="FW126" s="179" t="n"/>
      <c r="FX126" s="179" t="n"/>
      <c r="FY126" s="179" t="n"/>
      <c r="FZ126" s="179" t="n"/>
      <c r="GA126" s="179" t="n"/>
      <c r="GB126" s="179" t="n"/>
      <c r="GC126" s="179" t="n"/>
      <c r="GD126" s="179" t="n"/>
      <c r="GE126" s="179" t="n"/>
      <c r="GF126" s="179" t="n"/>
      <c r="GG126" s="179" t="n"/>
      <c r="GH126" s="179" t="n"/>
      <c r="GI126" s="179" t="n"/>
      <c r="GJ126" s="179" t="n"/>
      <c r="GK126" s="179" t="n"/>
      <c r="GL126" s="179" t="n"/>
      <c r="GM126" s="179" t="n"/>
      <c r="GN126" s="179" t="n"/>
      <c r="GO126" s="179" t="n"/>
      <c r="GP126" s="179" t="n"/>
      <c r="GQ126" s="179" t="n"/>
      <c r="GR126" s="179" t="n"/>
      <c r="GS126" s="179" t="n"/>
      <c r="GT126" s="179" t="n"/>
      <c r="GU126" s="179" t="n"/>
      <c r="GV126" s="179" t="n"/>
      <c r="GW126" s="179" t="n"/>
      <c r="GX126" s="179" t="n"/>
      <c r="GY126" s="179" t="n"/>
      <c r="GZ126" s="179" t="n"/>
      <c r="HA126" s="179" t="n"/>
      <c r="HB126" s="179" t="n"/>
      <c r="HC126" s="179" t="n"/>
      <c r="HD126" s="179" t="n"/>
      <c r="HE126" s="179" t="n"/>
      <c r="HF126" s="179" t="n"/>
      <c r="HG126" s="179" t="n"/>
      <c r="HH126" s="179" t="n"/>
      <c r="HI126" s="179" t="n"/>
      <c r="HJ126" s="179" t="n"/>
      <c r="HK126" s="179" t="n"/>
      <c r="HL126" s="179" t="n"/>
      <c r="HM126" s="179" t="n"/>
      <c r="HN126" s="179" t="n"/>
      <c r="HO126" s="179" t="n"/>
      <c r="HP126" s="179" t="n"/>
      <c r="HQ126" s="179" t="n"/>
      <c r="HR126" s="179" t="n"/>
      <c r="HS126" s="179" t="n"/>
      <c r="HT126" s="179" t="n"/>
      <c r="HU126" s="179" t="n"/>
      <c r="HV126" s="179" t="n"/>
      <c r="HW126" s="179" t="n"/>
      <c r="HX126" s="179" t="n"/>
      <c r="HY126" s="179" t="n"/>
      <c r="HZ126" s="179" t="n"/>
      <c r="IA126" s="179" t="n"/>
      <c r="IB126" s="179" t="n"/>
      <c r="IC126" s="179" t="n"/>
      <c r="ID126" s="179" t="n"/>
      <c r="IE126" s="179" t="n"/>
      <c r="IF126" s="179" t="n"/>
      <c r="IG126" s="179" t="n"/>
      <c r="IH126" s="179" t="n"/>
      <c r="II126" s="179" t="n"/>
      <c r="IJ126" s="179" t="n"/>
      <c r="IK126" s="179" t="n"/>
      <c r="IL126" s="179" t="n"/>
      <c r="IM126" s="179" t="n"/>
      <c r="IN126" s="179" t="n"/>
      <c r="IO126" s="179" t="n"/>
      <c r="IP126" s="179" t="n"/>
      <c r="IQ126" s="179" t="n"/>
      <c r="IR126" s="179" t="n"/>
      <c r="IS126" s="179" t="n"/>
      <c r="IT126" s="179" t="n"/>
      <c r="IU126" s="179" t="n"/>
      <c r="IV126" s="179" t="n"/>
    </row>
    <row r="127" ht="16.5" customFormat="1" customHeight="1" s="525">
      <c r="A127" s="580" t="n"/>
      <c r="B127" s="43" t="n"/>
      <c r="C127" s="45" t="n"/>
      <c r="D127" s="45" t="n"/>
      <c r="E127" s="45" t="n"/>
      <c r="F127" s="45" t="n"/>
      <c r="G127" s="45" t="n"/>
      <c r="H127" s="45" t="n"/>
      <c r="I127" s="161">
        <f>IF(COUNTBLANK(B127:H127)=7,"","PLAOIH")</f>
        <v/>
      </c>
      <c r="J127" s="182" t="n"/>
      <c r="K127" s="179" t="n"/>
      <c r="L127" s="179" t="n"/>
      <c r="M127" s="179" t="n"/>
      <c r="N127" s="179" t="n"/>
      <c r="O127" s="179" t="n"/>
      <c r="P127" s="179" t="n"/>
      <c r="Q127" s="179" t="n"/>
      <c r="R127" s="179" t="n"/>
      <c r="S127" s="179" t="n"/>
      <c r="T127" s="179" t="n"/>
      <c r="U127" s="179" t="n"/>
      <c r="V127" s="179" t="n"/>
      <c r="W127" s="179" t="n"/>
      <c r="X127" s="179" t="n"/>
      <c r="Y127" s="179" t="n"/>
      <c r="Z127" s="179" t="n"/>
      <c r="AA127" s="179" t="n"/>
      <c r="AB127" s="179" t="n"/>
      <c r="AC127" s="179" t="n"/>
      <c r="AD127" s="179" t="n"/>
      <c r="AE127" s="179" t="n"/>
      <c r="AF127" s="179" t="n"/>
      <c r="AG127" s="179" t="n"/>
      <c r="AH127" s="179" t="n"/>
      <c r="AI127" s="179" t="n"/>
      <c r="AJ127" s="179" t="n"/>
      <c r="AK127" s="179" t="n"/>
      <c r="AL127" s="179" t="n"/>
      <c r="AM127" s="179" t="n"/>
      <c r="AN127" s="179" t="n"/>
      <c r="AO127" s="179" t="n"/>
      <c r="AP127" s="179" t="n"/>
      <c r="AQ127" s="179" t="n"/>
      <c r="AR127" s="179" t="n"/>
      <c r="AS127" s="179" t="n"/>
      <c r="AT127" s="179" t="n"/>
      <c r="AU127" s="179" t="n"/>
      <c r="AV127" s="179" t="n"/>
      <c r="AW127" s="179" t="n"/>
      <c r="AX127" s="179" t="n"/>
      <c r="AY127" s="179" t="n"/>
      <c r="AZ127" s="179" t="n"/>
      <c r="BA127" s="179" t="n"/>
      <c r="BB127" s="179" t="n"/>
      <c r="BC127" s="179" t="n"/>
      <c r="BD127" s="179" t="n"/>
      <c r="BE127" s="179" t="n"/>
      <c r="BF127" s="179" t="n"/>
      <c r="BG127" s="179" t="n"/>
      <c r="BH127" s="179" t="n"/>
      <c r="BI127" s="179" t="n"/>
      <c r="BJ127" s="179" t="n"/>
      <c r="BK127" s="179" t="n"/>
      <c r="BL127" s="179" t="n"/>
      <c r="BM127" s="179" t="n"/>
      <c r="BN127" s="179" t="n"/>
      <c r="BO127" s="179" t="n"/>
      <c r="BP127" s="179" t="n"/>
      <c r="BQ127" s="179" t="n"/>
      <c r="BR127" s="179" t="n"/>
      <c r="BS127" s="179" t="n"/>
      <c r="BT127" s="179" t="n"/>
      <c r="BU127" s="179" t="n"/>
      <c r="BV127" s="179" t="n"/>
      <c r="BW127" s="179" t="n"/>
      <c r="BX127" s="179" t="n"/>
      <c r="BY127" s="179" t="n"/>
      <c r="BZ127" s="179" t="n"/>
      <c r="CA127" s="179" t="n"/>
      <c r="CB127" s="179" t="n"/>
      <c r="CC127" s="179" t="n"/>
      <c r="CD127" s="179" t="n"/>
      <c r="CE127" s="179" t="n"/>
      <c r="CF127" s="179" t="n"/>
      <c r="CG127" s="179" t="n"/>
      <c r="CH127" s="179" t="n"/>
      <c r="CI127" s="179" t="n"/>
      <c r="CJ127" s="179" t="n"/>
      <c r="CK127" s="179" t="n"/>
      <c r="CL127" s="179" t="n"/>
      <c r="CM127" s="179" t="n"/>
      <c r="CN127" s="179" t="n"/>
      <c r="CO127" s="179" t="n"/>
      <c r="CP127" s="179" t="n"/>
      <c r="CQ127" s="179" t="n"/>
      <c r="CR127" s="179" t="n"/>
      <c r="CS127" s="179" t="n"/>
      <c r="CT127" s="179" t="n"/>
      <c r="CU127" s="179" t="n"/>
      <c r="CV127" s="179" t="n"/>
      <c r="CW127" s="179" t="n"/>
      <c r="CX127" s="179" t="n"/>
      <c r="CY127" s="179" t="n"/>
      <c r="CZ127" s="179" t="n"/>
      <c r="DA127" s="179" t="n"/>
      <c r="DB127" s="179" t="n"/>
      <c r="DC127" s="179" t="n"/>
      <c r="DD127" s="179" t="n"/>
      <c r="DE127" s="179" t="n"/>
      <c r="DF127" s="179" t="n"/>
      <c r="DG127" s="179" t="n"/>
      <c r="DH127" s="179" t="n"/>
      <c r="DI127" s="179" t="n"/>
      <c r="DJ127" s="179" t="n"/>
      <c r="DK127" s="179" t="n"/>
      <c r="DL127" s="179" t="n"/>
      <c r="DM127" s="179" t="n"/>
      <c r="DN127" s="179" t="n"/>
      <c r="DO127" s="179" t="n"/>
      <c r="DP127" s="179" t="n"/>
      <c r="DQ127" s="179" t="n"/>
      <c r="DR127" s="179" t="n"/>
      <c r="DS127" s="179" t="n"/>
      <c r="DT127" s="179" t="n"/>
      <c r="DU127" s="179" t="n"/>
      <c r="DV127" s="179" t="n"/>
      <c r="DW127" s="179" t="n"/>
      <c r="DX127" s="179" t="n"/>
      <c r="DY127" s="179" t="n"/>
      <c r="DZ127" s="179" t="n"/>
      <c r="EA127" s="179" t="n"/>
      <c r="EB127" s="179" t="n"/>
      <c r="EC127" s="179" t="n"/>
      <c r="ED127" s="179" t="n"/>
      <c r="EE127" s="179" t="n"/>
      <c r="EF127" s="179" t="n"/>
      <c r="EG127" s="179" t="n"/>
      <c r="EH127" s="179" t="n"/>
      <c r="EI127" s="179" t="n"/>
      <c r="EJ127" s="179" t="n"/>
      <c r="EK127" s="179" t="n"/>
      <c r="EL127" s="179" t="n"/>
      <c r="EM127" s="179" t="n"/>
      <c r="EN127" s="179" t="n"/>
      <c r="EO127" s="179" t="n"/>
      <c r="EP127" s="179" t="n"/>
      <c r="EQ127" s="179" t="n"/>
      <c r="ER127" s="179" t="n"/>
      <c r="ES127" s="179" t="n"/>
      <c r="ET127" s="179" t="n"/>
      <c r="EU127" s="179" t="n"/>
      <c r="EV127" s="179" t="n"/>
      <c r="EW127" s="179" t="n"/>
      <c r="EX127" s="179" t="n"/>
      <c r="EY127" s="179" t="n"/>
      <c r="EZ127" s="179" t="n"/>
      <c r="FA127" s="179" t="n"/>
      <c r="FB127" s="179" t="n"/>
      <c r="FC127" s="179" t="n"/>
      <c r="FD127" s="179" t="n"/>
      <c r="FE127" s="179" t="n"/>
      <c r="FF127" s="179" t="n"/>
      <c r="FG127" s="179" t="n"/>
      <c r="FH127" s="179" t="n"/>
      <c r="FI127" s="179" t="n"/>
      <c r="FJ127" s="179" t="n"/>
      <c r="FK127" s="179" t="n"/>
      <c r="FL127" s="179" t="n"/>
      <c r="FM127" s="179" t="n"/>
      <c r="FN127" s="179" t="n"/>
      <c r="FO127" s="179" t="n"/>
      <c r="FP127" s="179" t="n"/>
      <c r="FQ127" s="179" t="n"/>
      <c r="FR127" s="179" t="n"/>
      <c r="FS127" s="179" t="n"/>
      <c r="FT127" s="179" t="n"/>
      <c r="FU127" s="179" t="n"/>
      <c r="FV127" s="179" t="n"/>
      <c r="FW127" s="179" t="n"/>
      <c r="FX127" s="179" t="n"/>
      <c r="FY127" s="179" t="n"/>
      <c r="FZ127" s="179" t="n"/>
      <c r="GA127" s="179" t="n"/>
      <c r="GB127" s="179" t="n"/>
      <c r="GC127" s="179" t="n"/>
      <c r="GD127" s="179" t="n"/>
      <c r="GE127" s="179" t="n"/>
      <c r="GF127" s="179" t="n"/>
      <c r="GG127" s="179" t="n"/>
      <c r="GH127" s="179" t="n"/>
      <c r="GI127" s="179" t="n"/>
      <c r="GJ127" s="179" t="n"/>
      <c r="GK127" s="179" t="n"/>
      <c r="GL127" s="179" t="n"/>
      <c r="GM127" s="179" t="n"/>
      <c r="GN127" s="179" t="n"/>
      <c r="GO127" s="179" t="n"/>
      <c r="GP127" s="179" t="n"/>
      <c r="GQ127" s="179" t="n"/>
      <c r="GR127" s="179" t="n"/>
      <c r="GS127" s="179" t="n"/>
      <c r="GT127" s="179" t="n"/>
      <c r="GU127" s="179" t="n"/>
      <c r="GV127" s="179" t="n"/>
      <c r="GW127" s="179" t="n"/>
      <c r="GX127" s="179" t="n"/>
      <c r="GY127" s="179" t="n"/>
      <c r="GZ127" s="179" t="n"/>
      <c r="HA127" s="179" t="n"/>
      <c r="HB127" s="179" t="n"/>
      <c r="HC127" s="179" t="n"/>
      <c r="HD127" s="179" t="n"/>
      <c r="HE127" s="179" t="n"/>
      <c r="HF127" s="179" t="n"/>
      <c r="HG127" s="179" t="n"/>
      <c r="HH127" s="179" t="n"/>
      <c r="HI127" s="179" t="n"/>
      <c r="HJ127" s="179" t="n"/>
      <c r="HK127" s="179" t="n"/>
      <c r="HL127" s="179" t="n"/>
      <c r="HM127" s="179" t="n"/>
      <c r="HN127" s="179" t="n"/>
      <c r="HO127" s="179" t="n"/>
      <c r="HP127" s="179" t="n"/>
      <c r="HQ127" s="179" t="n"/>
      <c r="HR127" s="179" t="n"/>
      <c r="HS127" s="179" t="n"/>
      <c r="HT127" s="179" t="n"/>
      <c r="HU127" s="179" t="n"/>
      <c r="HV127" s="179" t="n"/>
      <c r="HW127" s="179" t="n"/>
      <c r="HX127" s="179" t="n"/>
      <c r="HY127" s="179" t="n"/>
      <c r="HZ127" s="179" t="n"/>
      <c r="IA127" s="179" t="n"/>
      <c r="IB127" s="179" t="n"/>
      <c r="IC127" s="179" t="n"/>
      <c r="ID127" s="179" t="n"/>
      <c r="IE127" s="179" t="n"/>
      <c r="IF127" s="179" t="n"/>
      <c r="IG127" s="179" t="n"/>
      <c r="IH127" s="179" t="n"/>
      <c r="II127" s="179" t="n"/>
      <c r="IJ127" s="179" t="n"/>
      <c r="IK127" s="179" t="n"/>
      <c r="IL127" s="179" t="n"/>
      <c r="IM127" s="179" t="n"/>
      <c r="IN127" s="179" t="n"/>
      <c r="IO127" s="179" t="n"/>
      <c r="IP127" s="179" t="n"/>
      <c r="IQ127" s="179" t="n"/>
      <c r="IR127" s="179" t="n"/>
      <c r="IS127" s="179" t="n"/>
      <c r="IT127" s="179" t="n"/>
      <c r="IU127" s="179" t="n"/>
      <c r="IV127" s="179" t="n"/>
    </row>
    <row r="128" ht="16.5" customFormat="1" customHeight="1" s="525">
      <c r="A128" s="580" t="n"/>
      <c r="B128" s="181" t="inlineStr">
        <is>
          <t>Total of Other Income</t>
        </is>
      </c>
      <c r="C128" s="139">
        <f>SUM(C123:OFFSET(PLA.OIBussS,-1,0))</f>
        <v/>
      </c>
      <c r="D128" s="139">
        <f>SUM(D123:OFFSET(PLA.OIFarmS,-1,0))</f>
        <v/>
      </c>
      <c r="E128" s="139">
        <f>SUM(E123:OFFSET(PLA.OIRentS,-1,0))</f>
        <v/>
      </c>
      <c r="F128" s="139">
        <f>SUM(F123:OFFSET(PLA.OIIntS,-1,0))</f>
        <v/>
      </c>
      <c r="G128" s="139">
        <f>SUM(G123:OFFSET(PLA.OICommS,-1,0))</f>
        <v/>
      </c>
      <c r="H128" s="139">
        <f>SUM(H123:OFFSET(PLA.OIOthS,-1,0))</f>
        <v/>
      </c>
      <c r="I128" s="179" t="n"/>
      <c r="J128" s="182" t="n"/>
      <c r="K128" s="179" t="n"/>
      <c r="L128" s="179" t="n"/>
      <c r="M128" s="179" t="n"/>
      <c r="N128" s="179" t="n"/>
      <c r="O128" s="179" t="n"/>
      <c r="P128" s="179" t="n"/>
      <c r="Q128" s="179" t="n"/>
      <c r="R128" s="179" t="n"/>
      <c r="S128" s="179" t="n"/>
      <c r="T128" s="179" t="n"/>
      <c r="U128" s="179" t="n"/>
      <c r="V128" s="179" t="n"/>
      <c r="W128" s="179" t="n"/>
      <c r="X128" s="179" t="n"/>
      <c r="Y128" s="179" t="n"/>
      <c r="Z128" s="179" t="n"/>
      <c r="AA128" s="179" t="n"/>
      <c r="AB128" s="179" t="n"/>
      <c r="AC128" s="179" t="n"/>
      <c r="AD128" s="179" t="n"/>
      <c r="AE128" s="179" t="n"/>
      <c r="AF128" s="179" t="n"/>
      <c r="AG128" s="179" t="n"/>
      <c r="AH128" s="179" t="n"/>
      <c r="AI128" s="179" t="n"/>
      <c r="AJ128" s="179" t="n"/>
      <c r="AK128" s="179" t="n"/>
      <c r="AL128" s="179" t="n"/>
      <c r="AM128" s="179" t="n"/>
      <c r="AN128" s="179" t="n"/>
      <c r="AO128" s="179" t="n"/>
      <c r="AP128" s="179" t="n"/>
      <c r="AQ128" s="179" t="n"/>
      <c r="AR128" s="179" t="n"/>
      <c r="AS128" s="179" t="n"/>
      <c r="AT128" s="179" t="n"/>
      <c r="AU128" s="179" t="n"/>
      <c r="AV128" s="179" t="n"/>
      <c r="AW128" s="179" t="n"/>
      <c r="AX128" s="179" t="n"/>
      <c r="AY128" s="179" t="n"/>
      <c r="AZ128" s="179" t="n"/>
      <c r="BA128" s="179" t="n"/>
      <c r="BB128" s="179" t="n"/>
      <c r="BC128" s="179" t="n"/>
      <c r="BD128" s="179" t="n"/>
      <c r="BE128" s="179" t="n"/>
      <c r="BF128" s="179" t="n"/>
      <c r="BG128" s="179" t="n"/>
      <c r="BH128" s="179" t="n"/>
      <c r="BI128" s="179" t="n"/>
      <c r="BJ128" s="179" t="n"/>
      <c r="BK128" s="179" t="n"/>
      <c r="BL128" s="179" t="n"/>
      <c r="BM128" s="179" t="n"/>
      <c r="BN128" s="179" t="n"/>
      <c r="BO128" s="179" t="n"/>
      <c r="BP128" s="179" t="n"/>
      <c r="BQ128" s="179" t="n"/>
      <c r="BR128" s="179" t="n"/>
      <c r="BS128" s="179" t="n"/>
      <c r="BT128" s="179" t="n"/>
      <c r="BU128" s="179" t="n"/>
      <c r="BV128" s="179" t="n"/>
      <c r="BW128" s="179" t="n"/>
      <c r="BX128" s="179" t="n"/>
      <c r="BY128" s="179" t="n"/>
      <c r="BZ128" s="179" t="n"/>
      <c r="CA128" s="179" t="n"/>
      <c r="CB128" s="179" t="n"/>
      <c r="CC128" s="179" t="n"/>
      <c r="CD128" s="179" t="n"/>
      <c r="CE128" s="179" t="n"/>
      <c r="CF128" s="179" t="n"/>
      <c r="CG128" s="179" t="n"/>
      <c r="CH128" s="179" t="n"/>
      <c r="CI128" s="179" t="n"/>
      <c r="CJ128" s="179" t="n"/>
      <c r="CK128" s="179" t="n"/>
      <c r="CL128" s="179" t="n"/>
      <c r="CM128" s="179" t="n"/>
      <c r="CN128" s="179" t="n"/>
      <c r="CO128" s="179" t="n"/>
      <c r="CP128" s="179" t="n"/>
      <c r="CQ128" s="179" t="n"/>
      <c r="CR128" s="179" t="n"/>
      <c r="CS128" s="179" t="n"/>
      <c r="CT128" s="179" t="n"/>
      <c r="CU128" s="179" t="n"/>
      <c r="CV128" s="179" t="n"/>
      <c r="CW128" s="179" t="n"/>
      <c r="CX128" s="179" t="n"/>
      <c r="CY128" s="179" t="n"/>
      <c r="CZ128" s="179" t="n"/>
      <c r="DA128" s="179" t="n"/>
      <c r="DB128" s="179" t="n"/>
      <c r="DC128" s="179" t="n"/>
      <c r="DD128" s="179" t="n"/>
      <c r="DE128" s="179" t="n"/>
      <c r="DF128" s="179" t="n"/>
      <c r="DG128" s="179" t="n"/>
      <c r="DH128" s="179" t="n"/>
      <c r="DI128" s="179" t="n"/>
      <c r="DJ128" s="179" t="n"/>
      <c r="DK128" s="179" t="n"/>
      <c r="DL128" s="179" t="n"/>
      <c r="DM128" s="179" t="n"/>
      <c r="DN128" s="179" t="n"/>
      <c r="DO128" s="179" t="n"/>
      <c r="DP128" s="179" t="n"/>
      <c r="DQ128" s="179" t="n"/>
      <c r="DR128" s="179" t="n"/>
      <c r="DS128" s="179" t="n"/>
      <c r="DT128" s="179" t="n"/>
      <c r="DU128" s="179" t="n"/>
      <c r="DV128" s="179" t="n"/>
      <c r="DW128" s="179" t="n"/>
      <c r="DX128" s="179" t="n"/>
      <c r="DY128" s="179" t="n"/>
      <c r="DZ128" s="179" t="n"/>
      <c r="EA128" s="179" t="n"/>
      <c r="EB128" s="179" t="n"/>
      <c r="EC128" s="179" t="n"/>
      <c r="ED128" s="179" t="n"/>
      <c r="EE128" s="179" t="n"/>
      <c r="EF128" s="179" t="n"/>
      <c r="EG128" s="179" t="n"/>
      <c r="EH128" s="179" t="n"/>
      <c r="EI128" s="179" t="n"/>
      <c r="EJ128" s="179" t="n"/>
      <c r="EK128" s="179" t="n"/>
      <c r="EL128" s="179" t="n"/>
      <c r="EM128" s="179" t="n"/>
      <c r="EN128" s="179" t="n"/>
      <c r="EO128" s="179" t="n"/>
      <c r="EP128" s="179" t="n"/>
      <c r="EQ128" s="179" t="n"/>
      <c r="ER128" s="179" t="n"/>
      <c r="ES128" s="179" t="n"/>
      <c r="ET128" s="179" t="n"/>
      <c r="EU128" s="179" t="n"/>
      <c r="EV128" s="179" t="n"/>
      <c r="EW128" s="179" t="n"/>
      <c r="EX128" s="179" t="n"/>
      <c r="EY128" s="179" t="n"/>
      <c r="EZ128" s="179" t="n"/>
      <c r="FA128" s="179" t="n"/>
      <c r="FB128" s="179" t="n"/>
      <c r="FC128" s="179" t="n"/>
      <c r="FD128" s="179" t="n"/>
      <c r="FE128" s="179" t="n"/>
      <c r="FF128" s="179" t="n"/>
      <c r="FG128" s="179" t="n"/>
      <c r="FH128" s="179" t="n"/>
      <c r="FI128" s="179" t="n"/>
      <c r="FJ128" s="179" t="n"/>
      <c r="FK128" s="179" t="n"/>
      <c r="FL128" s="179" t="n"/>
      <c r="FM128" s="179" t="n"/>
      <c r="FN128" s="179" t="n"/>
      <c r="FO128" s="179" t="n"/>
      <c r="FP128" s="179" t="n"/>
      <c r="FQ128" s="179" t="n"/>
      <c r="FR128" s="179" t="n"/>
      <c r="FS128" s="179" t="n"/>
      <c r="FT128" s="179" t="n"/>
      <c r="FU128" s="179" t="n"/>
      <c r="FV128" s="179" t="n"/>
      <c r="FW128" s="179" t="n"/>
      <c r="FX128" s="179" t="n"/>
      <c r="FY128" s="179" t="n"/>
      <c r="FZ128" s="179" t="n"/>
      <c r="GA128" s="179" t="n"/>
      <c r="GB128" s="179" t="n"/>
      <c r="GC128" s="179" t="n"/>
      <c r="GD128" s="179" t="n"/>
      <c r="GE128" s="179" t="n"/>
      <c r="GF128" s="179" t="n"/>
      <c r="GG128" s="179" t="n"/>
      <c r="GH128" s="179" t="n"/>
      <c r="GI128" s="179" t="n"/>
      <c r="GJ128" s="179" t="n"/>
      <c r="GK128" s="179" t="n"/>
      <c r="GL128" s="179" t="n"/>
      <c r="GM128" s="179" t="n"/>
      <c r="GN128" s="179" t="n"/>
      <c r="GO128" s="179" t="n"/>
      <c r="GP128" s="179" t="n"/>
      <c r="GQ128" s="179" t="n"/>
      <c r="GR128" s="179" t="n"/>
      <c r="GS128" s="179" t="n"/>
      <c r="GT128" s="179" t="n"/>
      <c r="GU128" s="179" t="n"/>
      <c r="GV128" s="179" t="n"/>
      <c r="GW128" s="179" t="n"/>
      <c r="GX128" s="179" t="n"/>
      <c r="GY128" s="179" t="n"/>
      <c r="GZ128" s="179" t="n"/>
      <c r="HA128" s="179" t="n"/>
      <c r="HB128" s="179" t="n"/>
      <c r="HC128" s="179" t="n"/>
      <c r="HD128" s="179" t="n"/>
      <c r="HE128" s="179" t="n"/>
      <c r="HF128" s="179" t="n"/>
      <c r="HG128" s="179" t="n"/>
      <c r="HH128" s="179" t="n"/>
      <c r="HI128" s="179" t="n"/>
      <c r="HJ128" s="179" t="n"/>
      <c r="HK128" s="179" t="n"/>
      <c r="HL128" s="179" t="n"/>
      <c r="HM128" s="179" t="n"/>
      <c r="HN128" s="179" t="n"/>
      <c r="HO128" s="179" t="n"/>
      <c r="HP128" s="179" t="n"/>
      <c r="HQ128" s="179" t="n"/>
      <c r="HR128" s="179" t="n"/>
      <c r="HS128" s="179" t="n"/>
      <c r="HT128" s="179" t="n"/>
      <c r="HU128" s="179" t="n"/>
      <c r="HV128" s="179" t="n"/>
      <c r="HW128" s="179" t="n"/>
      <c r="HX128" s="179" t="n"/>
      <c r="HY128" s="179" t="n"/>
      <c r="HZ128" s="179" t="n"/>
      <c r="IA128" s="179" t="n"/>
      <c r="IB128" s="179" t="n"/>
      <c r="IC128" s="179" t="n"/>
      <c r="ID128" s="179" t="n"/>
      <c r="IE128" s="179" t="n"/>
      <c r="IF128" s="179" t="n"/>
      <c r="IG128" s="179" t="n"/>
      <c r="IH128" s="179" t="n"/>
      <c r="II128" s="179" t="n"/>
      <c r="IJ128" s="179" t="n"/>
      <c r="IK128" s="179" t="n"/>
      <c r="IL128" s="179" t="n"/>
      <c r="IM128" s="179" t="n"/>
      <c r="IN128" s="179" t="n"/>
      <c r="IO128" s="179" t="n"/>
      <c r="IP128" s="179" t="n"/>
      <c r="IQ128" s="179" t="n"/>
      <c r="IR128" s="179" t="n"/>
      <c r="IS128" s="179" t="n"/>
      <c r="IT128" s="179" t="n"/>
      <c r="IU128" s="179" t="n"/>
      <c r="IV128" s="179" t="n"/>
    </row>
    <row r="129" ht="37.5" customFormat="1" customHeight="1" s="525">
      <c r="A129" s="580" t="n"/>
      <c r="B129" s="580" t="n"/>
      <c r="C129" s="580" t="n"/>
      <c r="D129" s="580" t="n"/>
      <c r="E129" s="580" t="n"/>
      <c r="F129" s="179" t="n"/>
      <c r="G129" s="179" t="n"/>
      <c r="H129" s="179" t="n"/>
      <c r="I129" s="179" t="n"/>
      <c r="J129" s="182" t="n"/>
      <c r="K129" s="179" t="n"/>
      <c r="L129" s="179" t="n"/>
      <c r="M129" s="179" t="n"/>
      <c r="N129" s="179" t="n"/>
      <c r="O129" s="179" t="n"/>
      <c r="P129" s="179" t="n"/>
      <c r="Q129" s="179" t="n"/>
      <c r="R129" s="179" t="n"/>
      <c r="S129" s="179" t="n"/>
      <c r="T129" s="179" t="n"/>
      <c r="U129" s="179" t="n"/>
      <c r="V129" s="179" t="n"/>
      <c r="W129" s="179" t="n"/>
      <c r="X129" s="179" t="n"/>
      <c r="Y129" s="179" t="n"/>
      <c r="Z129" s="179" t="n"/>
      <c r="AA129" s="179" t="n"/>
      <c r="AB129" s="179" t="n"/>
      <c r="AC129" s="179" t="n"/>
      <c r="AD129" s="179" t="n"/>
      <c r="AE129" s="179" t="n"/>
      <c r="AF129" s="179" t="n"/>
      <c r="AG129" s="179" t="n"/>
      <c r="AH129" s="179" t="n"/>
      <c r="AI129" s="179" t="n"/>
      <c r="AJ129" s="179" t="n"/>
      <c r="AK129" s="179" t="n"/>
      <c r="AL129" s="179" t="n"/>
      <c r="AM129" s="179" t="n"/>
      <c r="AN129" s="179" t="n"/>
      <c r="AO129" s="179" t="n"/>
      <c r="AP129" s="179" t="n"/>
      <c r="AQ129" s="179" t="n"/>
      <c r="AR129" s="179" t="n"/>
      <c r="AS129" s="179" t="n"/>
      <c r="AT129" s="179" t="n"/>
      <c r="AU129" s="179" t="n"/>
      <c r="AV129" s="179" t="n"/>
      <c r="AW129" s="179" t="n"/>
      <c r="AX129" s="179" t="n"/>
      <c r="AY129" s="179" t="n"/>
      <c r="AZ129" s="179" t="n"/>
      <c r="BA129" s="179" t="n"/>
      <c r="BB129" s="179" t="n"/>
      <c r="BC129" s="179" t="n"/>
      <c r="BD129" s="179" t="n"/>
      <c r="BE129" s="179" t="n"/>
      <c r="BF129" s="179" t="n"/>
      <c r="BG129" s="179" t="n"/>
      <c r="BH129" s="179" t="n"/>
      <c r="BI129" s="179" t="n"/>
      <c r="BJ129" s="179" t="n"/>
      <c r="BK129" s="179" t="n"/>
      <c r="BL129" s="179" t="n"/>
      <c r="BM129" s="179" t="n"/>
      <c r="BN129" s="179" t="n"/>
      <c r="BO129" s="179" t="n"/>
      <c r="BP129" s="179" t="n"/>
      <c r="BQ129" s="179" t="n"/>
      <c r="BR129" s="179" t="n"/>
      <c r="BS129" s="179" t="n"/>
      <c r="BT129" s="179" t="n"/>
      <c r="BU129" s="179" t="n"/>
      <c r="BV129" s="179" t="n"/>
      <c r="BW129" s="179" t="n"/>
      <c r="BX129" s="179" t="n"/>
      <c r="BY129" s="179" t="n"/>
      <c r="BZ129" s="179" t="n"/>
      <c r="CA129" s="179" t="n"/>
      <c r="CB129" s="179" t="n"/>
      <c r="CC129" s="179" t="n"/>
      <c r="CD129" s="179" t="n"/>
      <c r="CE129" s="179" t="n"/>
      <c r="CF129" s="179" t="n"/>
      <c r="CG129" s="179" t="n"/>
      <c r="CH129" s="179" t="n"/>
      <c r="CI129" s="179" t="n"/>
      <c r="CJ129" s="179" t="n"/>
      <c r="CK129" s="179" t="n"/>
      <c r="CL129" s="179" t="n"/>
      <c r="CM129" s="179" t="n"/>
      <c r="CN129" s="179" t="n"/>
      <c r="CO129" s="179" t="n"/>
      <c r="CP129" s="179" t="n"/>
      <c r="CQ129" s="179" t="n"/>
      <c r="CR129" s="179" t="n"/>
      <c r="CS129" s="179" t="n"/>
      <c r="CT129" s="179" t="n"/>
      <c r="CU129" s="179" t="n"/>
      <c r="CV129" s="179" t="n"/>
      <c r="CW129" s="179" t="n"/>
      <c r="CX129" s="179" t="n"/>
      <c r="CY129" s="179" t="n"/>
      <c r="CZ129" s="179" t="n"/>
      <c r="DA129" s="179" t="n"/>
      <c r="DB129" s="179" t="n"/>
      <c r="DC129" s="179" t="n"/>
      <c r="DD129" s="179" t="n"/>
      <c r="DE129" s="179" t="n"/>
      <c r="DF129" s="179" t="n"/>
      <c r="DG129" s="179" t="n"/>
      <c r="DH129" s="179" t="n"/>
      <c r="DI129" s="179" t="n"/>
      <c r="DJ129" s="179" t="n"/>
      <c r="DK129" s="179" t="n"/>
      <c r="DL129" s="179" t="n"/>
      <c r="DM129" s="179" t="n"/>
      <c r="DN129" s="179" t="n"/>
      <c r="DO129" s="179" t="n"/>
      <c r="DP129" s="179" t="n"/>
      <c r="DQ129" s="179" t="n"/>
      <c r="DR129" s="179" t="n"/>
      <c r="DS129" s="179" t="n"/>
      <c r="DT129" s="179" t="n"/>
      <c r="DU129" s="179" t="n"/>
      <c r="DV129" s="179" t="n"/>
      <c r="DW129" s="179" t="n"/>
      <c r="DX129" s="179" t="n"/>
      <c r="DY129" s="179" t="n"/>
      <c r="DZ129" s="179" t="n"/>
      <c r="EA129" s="179" t="n"/>
      <c r="EB129" s="179" t="n"/>
      <c r="EC129" s="179" t="n"/>
      <c r="ED129" s="179" t="n"/>
      <c r="EE129" s="179" t="n"/>
      <c r="EF129" s="179" t="n"/>
      <c r="EG129" s="179" t="n"/>
      <c r="EH129" s="179" t="n"/>
      <c r="EI129" s="179" t="n"/>
      <c r="EJ129" s="179" t="n"/>
      <c r="EK129" s="179" t="n"/>
      <c r="EL129" s="179" t="n"/>
      <c r="EM129" s="179" t="n"/>
      <c r="EN129" s="179" t="n"/>
      <c r="EO129" s="179" t="n"/>
      <c r="EP129" s="179" t="n"/>
      <c r="EQ129" s="179" t="n"/>
      <c r="ER129" s="179" t="n"/>
      <c r="ES129" s="179" t="n"/>
      <c r="ET129" s="179" t="n"/>
      <c r="EU129" s="179" t="n"/>
      <c r="EV129" s="179" t="n"/>
      <c r="EW129" s="179" t="n"/>
      <c r="EX129" s="179" t="n"/>
      <c r="EY129" s="179" t="n"/>
      <c r="EZ129" s="179" t="n"/>
      <c r="FA129" s="179" t="n"/>
      <c r="FB129" s="179" t="n"/>
      <c r="FC129" s="179" t="n"/>
      <c r="FD129" s="179" t="n"/>
      <c r="FE129" s="179" t="n"/>
      <c r="FF129" s="179" t="n"/>
      <c r="FG129" s="179" t="n"/>
      <c r="FH129" s="179" t="n"/>
      <c r="FI129" s="179" t="n"/>
      <c r="FJ129" s="179" t="n"/>
      <c r="FK129" s="179" t="n"/>
      <c r="FL129" s="179" t="n"/>
      <c r="FM129" s="179" t="n"/>
      <c r="FN129" s="179" t="n"/>
      <c r="FO129" s="179" t="n"/>
      <c r="FP129" s="179" t="n"/>
      <c r="FQ129" s="179" t="n"/>
      <c r="FR129" s="179" t="n"/>
      <c r="FS129" s="179" t="n"/>
      <c r="FT129" s="179" t="n"/>
      <c r="FU129" s="179" t="n"/>
      <c r="FV129" s="179" t="n"/>
      <c r="FW129" s="179" t="n"/>
      <c r="FX129" s="179" t="n"/>
      <c r="FY129" s="179" t="n"/>
      <c r="FZ129" s="179" t="n"/>
      <c r="GA129" s="179" t="n"/>
      <c r="GB129" s="179" t="n"/>
      <c r="GC129" s="179" t="n"/>
      <c r="GD129" s="179" t="n"/>
      <c r="GE129" s="179" t="n"/>
      <c r="GF129" s="179" t="n"/>
      <c r="GG129" s="179" t="n"/>
      <c r="GH129" s="179" t="n"/>
      <c r="GI129" s="179" t="n"/>
      <c r="GJ129" s="179" t="n"/>
      <c r="GK129" s="179" t="n"/>
      <c r="GL129" s="179" t="n"/>
      <c r="GM129" s="179" t="n"/>
      <c r="GN129" s="179" t="n"/>
      <c r="GO129" s="179" t="n"/>
      <c r="GP129" s="179" t="n"/>
      <c r="GQ129" s="179" t="n"/>
      <c r="GR129" s="179" t="n"/>
      <c r="GS129" s="179" t="n"/>
      <c r="GT129" s="179" t="n"/>
      <c r="GU129" s="179" t="n"/>
      <c r="GV129" s="179" t="n"/>
      <c r="GW129" s="179" t="n"/>
      <c r="GX129" s="179" t="n"/>
      <c r="GY129" s="179" t="n"/>
      <c r="GZ129" s="179" t="n"/>
      <c r="HA129" s="179" t="n"/>
      <c r="HB129" s="179" t="n"/>
      <c r="HC129" s="179" t="n"/>
      <c r="HD129" s="179" t="n"/>
      <c r="HE129" s="179" t="n"/>
      <c r="HF129" s="179" t="n"/>
      <c r="HG129" s="179" t="n"/>
      <c r="HH129" s="179" t="n"/>
      <c r="HI129" s="179" t="n"/>
      <c r="HJ129" s="179" t="n"/>
      <c r="HK129" s="179" t="n"/>
      <c r="HL129" s="179" t="n"/>
      <c r="HM129" s="179" t="n"/>
      <c r="HN129" s="179" t="n"/>
      <c r="HO129" s="179" t="n"/>
      <c r="HP129" s="179" t="n"/>
      <c r="HQ129" s="179" t="n"/>
      <c r="HR129" s="179" t="n"/>
      <c r="HS129" s="179" t="n"/>
      <c r="HT129" s="179" t="n"/>
      <c r="HU129" s="179" t="n"/>
      <c r="HV129" s="179" t="n"/>
      <c r="HW129" s="179" t="n"/>
      <c r="HX129" s="179" t="n"/>
      <c r="HY129" s="179" t="n"/>
      <c r="HZ129" s="179" t="n"/>
      <c r="IA129" s="179" t="n"/>
      <c r="IB129" s="179" t="n"/>
      <c r="IC129" s="179" t="n"/>
      <c r="ID129" s="179" t="n"/>
      <c r="IE129" s="179" t="n"/>
      <c r="IF129" s="179" t="n"/>
      <c r="IG129" s="179" t="n"/>
      <c r="IH129" s="179" t="n"/>
      <c r="II129" s="179" t="n"/>
      <c r="IJ129" s="179" t="n"/>
      <c r="IK129" s="179" t="n"/>
      <c r="IL129" s="179" t="n"/>
      <c r="IM129" s="179" t="n"/>
      <c r="IN129" s="179" t="n"/>
      <c r="IO129" s="179" t="n"/>
      <c r="IP129" s="179" t="n"/>
      <c r="IQ129" s="179" t="n"/>
      <c r="IR129" s="179" t="n"/>
      <c r="IS129" s="179" t="n"/>
      <c r="IT129" s="179" t="n"/>
      <c r="IU129" s="179" t="n"/>
      <c r="IV129" s="179" t="n"/>
    </row>
    <row r="130" ht="37.5" customFormat="1" customHeight="1" s="525">
      <c r="A130" s="179" t="n"/>
      <c r="B130" s="128" t="n"/>
      <c r="C130" s="128" t="n"/>
      <c r="D130" s="128" t="n"/>
      <c r="E130" s="128" t="n"/>
      <c r="F130" s="179" t="n"/>
      <c r="G130" s="179" t="n"/>
      <c r="H130" s="179" t="n"/>
      <c r="I130" s="179" t="n"/>
      <c r="J130" s="182" t="n"/>
    </row>
  </sheetData>
  <sheetProtection selectLockedCells="0" selectUnlockedCells="0" algorithmName="SHA-512" sheet="1" objects="1" insertRows="1" insertHyperlinks="1" autoFilter="1" scenarios="1" formatColumns="1" deleteColumns="1" insertColumns="1" pivotTables="1" deleteRows="1" formatCells="1" saltValue="hUOhLz3cwtcuexpxvY1icQ==" formatRows="1" sort="1" spinCount="100000" hashValue="IEJU3yrpscFA9d40sZHdYcCXWOKk1RnnJeC5kjwk93+53EtwNsx9/TmoKN/O6g/MDXstLmr4zrFNQJS8mY8ZQQ=="/>
  <mergeCells count="17">
    <mergeCell ref="A95:I95"/>
    <mergeCell ref="A33:I33"/>
    <mergeCell ref="A107:I107"/>
    <mergeCell ref="A28:I28"/>
    <mergeCell ref="A103:I103"/>
    <mergeCell ref="A84:I84"/>
    <mergeCell ref="A20:I20"/>
    <mergeCell ref="A1:I1"/>
    <mergeCell ref="B121:H121"/>
    <mergeCell ref="B112:H112"/>
    <mergeCell ref="A6:I6"/>
    <mergeCell ref="A105:I105"/>
    <mergeCell ref="A12:I12"/>
    <mergeCell ref="A48:I48"/>
    <mergeCell ref="A78:I78"/>
    <mergeCell ref="A16:I16"/>
    <mergeCell ref="A35:I35"/>
  </mergeCells>
  <dataValidations xWindow="531" yWindow="280" count="4">
    <dataValidation sqref="C4:H5 C9:H11 C14:H15 C18:H19 C22:H27 C30:H32 C37:H46 C50:H77 C80:H83 C86:H94 C97:H102 C114:H118 C123:H127 I108"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B114:B118 B123:B127"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operator="lessThanOrEqual">
      <formula1>50</formula1>
    </dataValidation>
    <dataValidation sqref="C108:H108" showDropDown="0" showInputMessage="1" showErrorMessage="0" allowBlank="0" errorTitle="Data Error:"/>
    <dataValidation sqref="C47:H47" showDropDown="0" showInputMessage="0" showErrorMessage="0" allowBlank="0" errorTitle="Data Error:" error="Please enter positive numeric value of length less than or equal to 15 digit." promptTitle="Numeric:" prompt="Enter numeric value of length less than or equal to 15 digit."/>
  </dataValidations>
  <pageMargins left="0.7" right="0.7" top="0.75" bottom="0.75" header="0.3" footer="0.3"/>
  <pageSetup orientation="portrait"/>
  <drawing r:id="rId1"/>
</worksheet>
</file>

<file path=xl/worksheets/sheet10.xml><?xml version="1.0" encoding="utf-8"?>
<worksheet xmlns:r="http://schemas.openxmlformats.org/officeDocument/2006/relationships" xmlns="http://schemas.openxmlformats.org/spreadsheetml/2006/main">
  <sheetPr codeName="Sheet12">
    <outlinePr summaryBelow="1" summaryRight="1"/>
    <pageSetUpPr/>
  </sheetPr>
  <dimension ref="A1:IV131"/>
  <sheetViews>
    <sheetView workbookViewId="0">
      <pane xSplit="2" ySplit="2" topLeftCell="C3" activePane="bottomRight" state="frozen"/>
      <selection pane="topRight" activeCell="C1" sqref="C1"/>
      <selection pane="bottomLeft" activeCell="A3" sqref="A3"/>
      <selection pane="bottomRight" activeCell="B123" sqref="B123"/>
    </sheetView>
  </sheetViews>
  <sheetFormatPr baseColWidth="10" defaultColWidth="0" defaultRowHeight="15.75" customHeight="1" zeroHeight="1"/>
  <cols>
    <col width="9.33203125" customWidth="1" style="178" min="1" max="1"/>
    <col width="80.6640625" customWidth="1" style="176" min="2" max="2"/>
    <col width="27.6640625" customWidth="1" style="176" min="3" max="9"/>
    <col width="9.1640625" customWidth="1" style="182" min="10" max="10"/>
    <col hidden="1" width="13" customWidth="1" style="176" min="11" max="11"/>
    <col hidden="1" width="13" customWidth="1" style="176" min="12" max="16384"/>
  </cols>
  <sheetData>
    <row r="1" ht="37.5" customHeight="1" s="486">
      <c r="A1" s="511">
        <f>CONCATENATE("Section B : Profit / Surplus and Loss Account for the Year Ending on 31st December , ",SecA.RtnYear," (Wife)")</f>
        <v/>
      </c>
      <c r="B1" s="491" t="n"/>
      <c r="C1" s="491" t="n"/>
      <c r="D1" s="491" t="n"/>
      <c r="E1" s="491" t="n"/>
      <c r="F1" s="491" t="n"/>
      <c r="G1" s="491" t="n"/>
      <c r="H1" s="491" t="n"/>
      <c r="I1" s="481" t="n"/>
      <c r="K1" s="175" t="n"/>
      <c r="L1" s="175" t="n"/>
    </row>
    <row r="2" ht="21" customHeight="1" s="486">
      <c r="A2" s="545" t="inlineStr">
        <is>
          <t>Sr. No.</t>
        </is>
      </c>
      <c r="B2" s="545" t="inlineStr">
        <is>
          <t>Description</t>
        </is>
      </c>
      <c r="C2" s="545" t="inlineStr">
        <is>
          <t>Business (Ksh)</t>
        </is>
      </c>
      <c r="D2" s="545" t="inlineStr">
        <is>
          <t>Farming (Ksh)</t>
        </is>
      </c>
      <c r="E2" s="545" t="inlineStr">
        <is>
          <t>Rental (Ksh)</t>
        </is>
      </c>
      <c r="F2" s="545" t="inlineStr">
        <is>
          <t>Interest (Ksh)</t>
        </is>
      </c>
      <c r="G2" s="545" t="inlineStr">
        <is>
          <t>Commission (Ksh)</t>
        </is>
      </c>
      <c r="H2" s="545" t="inlineStr">
        <is>
          <t>Other (Ksh)</t>
        </is>
      </c>
      <c r="I2" s="545" t="inlineStr">
        <is>
          <t>Consolidated (Ksh)</t>
        </is>
      </c>
    </row>
    <row r="3" ht="17" customHeight="1" s="486">
      <c r="A3" s="307" t="n">
        <v>1</v>
      </c>
      <c r="B3" s="308" t="inlineStr">
        <is>
          <t>Gross Turnover of Business or Profession (1.1+1.2)</t>
        </is>
      </c>
      <c r="C3" s="139">
        <f>SUM(C4:C5)</f>
        <v/>
      </c>
      <c r="D3" s="139">
        <f>SUM(D4:D5)</f>
        <v/>
      </c>
      <c r="E3" s="139">
        <f>SUM(E4:E5)</f>
        <v/>
      </c>
      <c r="F3" s="139">
        <f>SUM(F4:F5)</f>
        <v/>
      </c>
      <c r="G3" s="139">
        <f>SUM(G4:G5)</f>
        <v/>
      </c>
      <c r="H3" s="139">
        <f>SUM(H4:H5)</f>
        <v/>
      </c>
      <c r="I3" s="139">
        <f>SUM(C3:H3)</f>
        <v/>
      </c>
    </row>
    <row r="4" ht="17" customHeight="1" s="486">
      <c r="A4" s="258" t="n">
        <v>1.1</v>
      </c>
      <c r="B4" s="238" t="inlineStr">
        <is>
          <t>Gross Turnover ( General Trading / Manufactured Goods)</t>
        </is>
      </c>
      <c r="C4" s="44" t="n"/>
      <c r="D4" s="44" t="n"/>
      <c r="E4" s="44" t="n"/>
      <c r="F4" s="44" t="n"/>
      <c r="G4" s="44" t="n"/>
      <c r="H4" s="44" t="n"/>
      <c r="I4" s="139">
        <f>SUM(C4:H4)</f>
        <v/>
      </c>
    </row>
    <row r="5" ht="17" customHeight="1" s="486">
      <c r="A5" s="258" t="n">
        <v>1.2</v>
      </c>
      <c r="B5" s="238" t="inlineStr">
        <is>
          <t>Gross Turnover of Profession / Consultancy Fees</t>
        </is>
      </c>
      <c r="C5" s="44" t="n"/>
      <c r="D5" s="44" t="n"/>
      <c r="E5" s="44" t="n"/>
      <c r="F5" s="44" t="n"/>
      <c r="G5" s="44" t="n"/>
      <c r="H5" s="44" t="n"/>
      <c r="I5" s="139">
        <f>SUM(C5:H5)</f>
        <v/>
      </c>
    </row>
    <row r="6" ht="16" customHeight="1" s="486">
      <c r="A6" s="512" t="n"/>
      <c r="B6" s="491" t="n"/>
      <c r="C6" s="491" t="n"/>
      <c r="D6" s="491" t="n"/>
      <c r="E6" s="491" t="n"/>
      <c r="F6" s="491" t="n"/>
      <c r="G6" s="491" t="n"/>
      <c r="H6" s="491" t="n"/>
      <c r="I6" s="481" t="n"/>
    </row>
    <row r="7" ht="17" customFormat="1" customHeight="1" s="177">
      <c r="A7" s="307" t="n">
        <v>2</v>
      </c>
      <c r="B7" s="308" t="inlineStr">
        <is>
          <t>Cost of Sales (2.1+2.2+2.3+2.4-2.5)</t>
        </is>
      </c>
      <c r="C7" s="139">
        <f>ROUND(C8,2)+ROUND(C13,2)+ROUND(C17,2)+ROUND(C21,2)-ROUND(C29,2)</f>
        <v/>
      </c>
      <c r="D7" s="139">
        <f>ROUND(D8,2)+ROUND(D13,2)+ROUND(D17,2)+ROUND(D21,2)-ROUND(D29,2)</f>
        <v/>
      </c>
      <c r="E7" s="139">
        <f>ROUND(E8,2)+ROUND(E13,2)+ROUND(E17,2)+ROUND(E21,2)-ROUND(E29,2)</f>
        <v/>
      </c>
      <c r="F7" s="139">
        <f>ROUND(F8,2)+ROUND(F13,2)+ROUND(F17,2)+ROUND(F21,2)-ROUND(F29,2)</f>
        <v/>
      </c>
      <c r="G7" s="139">
        <f>ROUND(G8,2)+ROUND(G13,2)+ROUND(G17,2)+ROUND(G21,2)-ROUND(G29,2)</f>
        <v/>
      </c>
      <c r="H7" s="139">
        <f>ROUND(H8,2)+ROUND(H13,2)+ROUND(H17,2)+ROUND(H21,2)-ROUND(H29,2)</f>
        <v/>
      </c>
      <c r="I7" s="139">
        <f>SUM(C7:H7)</f>
        <v/>
      </c>
      <c r="J7" s="182" t="n"/>
    </row>
    <row r="8" ht="17" customFormat="1" customHeight="1" s="177">
      <c r="A8" s="307" t="n">
        <v>2.1</v>
      </c>
      <c r="B8" s="308" t="inlineStr">
        <is>
          <t>Opening Stock (2.1.1+2.1.2+2.1.3)</t>
        </is>
      </c>
      <c r="C8" s="139">
        <f>SUM(C9:C11)</f>
        <v/>
      </c>
      <c r="D8" s="139">
        <f>SUM(D9:D11)</f>
        <v/>
      </c>
      <c r="E8" s="139">
        <f>SUM(E9:E11)</f>
        <v/>
      </c>
      <c r="F8" s="139">
        <f>SUM(F9:F11)</f>
        <v/>
      </c>
      <c r="G8" s="139">
        <f>SUM(G9:G11)</f>
        <v/>
      </c>
      <c r="H8" s="139">
        <f>SUM(H9:H11)</f>
        <v/>
      </c>
      <c r="I8" s="139">
        <f>SUM(C8:H8)</f>
        <v/>
      </c>
      <c r="J8" s="182" t="n"/>
    </row>
    <row r="9" ht="17" customHeight="1" s="486">
      <c r="A9" s="258" t="inlineStr">
        <is>
          <t>2.1.1</t>
        </is>
      </c>
      <c r="B9" s="238" t="inlineStr">
        <is>
          <t>Raw Materials</t>
        </is>
      </c>
      <c r="C9" s="44" t="n"/>
      <c r="D9" s="44" t="n"/>
      <c r="E9" s="44" t="n"/>
      <c r="F9" s="44" t="n"/>
      <c r="G9" s="44" t="n"/>
      <c r="H9" s="44" t="n"/>
      <c r="I9" s="139">
        <f>SUM(C9:H9)</f>
        <v/>
      </c>
    </row>
    <row r="10" ht="17" customHeight="1" s="486">
      <c r="A10" s="258" t="inlineStr">
        <is>
          <t>2.1.2</t>
        </is>
      </c>
      <c r="B10" s="238" t="inlineStr">
        <is>
          <t xml:space="preserve">Work in Progress </t>
        </is>
      </c>
      <c r="C10" s="44" t="n"/>
      <c r="D10" s="44" t="n"/>
      <c r="E10" s="44" t="n"/>
      <c r="F10" s="44" t="n"/>
      <c r="G10" s="44" t="n"/>
      <c r="H10" s="44" t="n"/>
      <c r="I10" s="139">
        <f>SUM(C10:H10)</f>
        <v/>
      </c>
    </row>
    <row r="11" ht="17" customHeight="1" s="486">
      <c r="A11" s="258" t="inlineStr">
        <is>
          <t>2.1.3</t>
        </is>
      </c>
      <c r="B11" s="238" t="inlineStr">
        <is>
          <t>Trading / Manufactured goods (Finished Goods)</t>
        </is>
      </c>
      <c r="C11" s="44" t="n"/>
      <c r="D11" s="44" t="n"/>
      <c r="E11" s="44" t="n"/>
      <c r="F11" s="44" t="n"/>
      <c r="G11" s="44" t="n"/>
      <c r="H11" s="44" t="n"/>
      <c r="I11" s="139">
        <f>SUM(C11:H11)</f>
        <v/>
      </c>
    </row>
    <row r="12" ht="16" customHeight="1" s="486">
      <c r="A12" s="512" t="n"/>
      <c r="B12" s="491" t="n"/>
      <c r="C12" s="491" t="n"/>
      <c r="D12" s="491" t="n"/>
      <c r="E12" s="491" t="n"/>
      <c r="F12" s="491" t="n"/>
      <c r="G12" s="491" t="n"/>
      <c r="H12" s="491" t="n"/>
      <c r="I12" s="481" t="n"/>
    </row>
    <row r="13" ht="17" customFormat="1" customHeight="1" s="177">
      <c r="A13" s="307" t="n">
        <v>2.2</v>
      </c>
      <c r="B13" s="308" t="inlineStr">
        <is>
          <t>Purchases (2.2.1+2.2.2)</t>
        </is>
      </c>
      <c r="C13" s="139">
        <f>SUM(C14:C15)</f>
        <v/>
      </c>
      <c r="D13" s="139">
        <f>SUM(D14:D15)</f>
        <v/>
      </c>
      <c r="E13" s="139">
        <f>SUM(E14:E15)</f>
        <v/>
      </c>
      <c r="F13" s="139">
        <f>SUM(F14:F15)</f>
        <v/>
      </c>
      <c r="G13" s="139">
        <f>SUM(G14:G15)</f>
        <v/>
      </c>
      <c r="H13" s="139">
        <f>SUM(H14:H15)</f>
        <v/>
      </c>
      <c r="I13" s="139">
        <f>SUM(C13:H13)</f>
        <v/>
      </c>
      <c r="J13" s="182" t="n"/>
    </row>
    <row r="14" ht="17" customHeight="1" s="486">
      <c r="A14" s="258" t="inlineStr">
        <is>
          <t>2.2.1</t>
        </is>
      </c>
      <c r="B14" s="238" t="inlineStr">
        <is>
          <t xml:space="preserve">Local Purchases </t>
        </is>
      </c>
      <c r="C14" s="44" t="n"/>
      <c r="D14" s="44" t="n"/>
      <c r="E14" s="44" t="n"/>
      <c r="F14" s="44" t="n"/>
      <c r="G14" s="44" t="n"/>
      <c r="H14" s="44" t="n"/>
      <c r="I14" s="139">
        <f>SUM(C14:H14)</f>
        <v/>
      </c>
    </row>
    <row r="15" ht="17" customHeight="1" s="486">
      <c r="A15" s="258" t="inlineStr">
        <is>
          <t>2.2.2</t>
        </is>
      </c>
      <c r="B15" s="238" t="inlineStr">
        <is>
          <t xml:space="preserve">Imports </t>
        </is>
      </c>
      <c r="C15" s="44" t="n"/>
      <c r="D15" s="44" t="n"/>
      <c r="E15" s="44" t="n"/>
      <c r="F15" s="44" t="n"/>
      <c r="G15" s="44" t="n"/>
      <c r="H15" s="44" t="n"/>
      <c r="I15" s="139">
        <f>SUM(C15:H15)</f>
        <v/>
      </c>
    </row>
    <row r="16" ht="16" customFormat="1" customHeight="1" s="177">
      <c r="A16" s="512" t="n"/>
      <c r="B16" s="491" t="n"/>
      <c r="C16" s="491" t="n"/>
      <c r="D16" s="491" t="n"/>
      <c r="E16" s="491" t="n"/>
      <c r="F16" s="491" t="n"/>
      <c r="G16" s="491" t="n"/>
      <c r="H16" s="491" t="n"/>
      <c r="I16" s="481" t="n"/>
      <c r="J16" s="182" t="n"/>
    </row>
    <row r="17" ht="17" customFormat="1" customHeight="1" s="177">
      <c r="A17" s="307" t="n">
        <v>2.3</v>
      </c>
      <c r="B17" s="308" t="inlineStr">
        <is>
          <t>Other Direct Costs (2.3.1+2.3.2)</t>
        </is>
      </c>
      <c r="C17" s="139">
        <f>SUM(C18:C19)</f>
        <v/>
      </c>
      <c r="D17" s="139">
        <f>SUM(D18:D19)</f>
        <v/>
      </c>
      <c r="E17" s="139">
        <f>SUM(E18:E19)</f>
        <v/>
      </c>
      <c r="F17" s="139">
        <f>SUM(F18:F19)</f>
        <v/>
      </c>
      <c r="G17" s="139">
        <f>SUM(G18:G19)</f>
        <v/>
      </c>
      <c r="H17" s="139">
        <f>SUM(H18:H19)</f>
        <v/>
      </c>
      <c r="I17" s="139">
        <f>SUM(C17:H17)</f>
        <v/>
      </c>
      <c r="J17" s="182" t="n"/>
    </row>
    <row r="18" ht="17" customHeight="1" s="486">
      <c r="A18" s="258" t="inlineStr">
        <is>
          <t>2.3.1</t>
        </is>
      </c>
      <c r="B18" s="238" t="inlineStr">
        <is>
          <t>Direct Wages</t>
        </is>
      </c>
      <c r="C18" s="44" t="n"/>
      <c r="D18" s="44" t="n"/>
      <c r="E18" s="44" t="n"/>
      <c r="F18" s="44" t="n"/>
      <c r="G18" s="44" t="n"/>
      <c r="H18" s="44" t="n"/>
      <c r="I18" s="139">
        <f>SUM(C18:H18)</f>
        <v/>
      </c>
    </row>
    <row r="19" ht="17" customHeight="1" s="486">
      <c r="A19" s="258" t="inlineStr">
        <is>
          <t>2.3.2</t>
        </is>
      </c>
      <c r="B19" s="238" t="inlineStr">
        <is>
          <t>Direct Expenses</t>
        </is>
      </c>
      <c r="C19" s="44" t="n"/>
      <c r="D19" s="44" t="n"/>
      <c r="E19" s="44" t="n"/>
      <c r="F19" s="44" t="n"/>
      <c r="G19" s="44" t="n"/>
      <c r="H19" s="44" t="n"/>
      <c r="I19" s="139">
        <f>SUM(C19:H19)</f>
        <v/>
      </c>
    </row>
    <row r="20" ht="16" customHeight="1" s="486">
      <c r="A20" s="512" t="n"/>
      <c r="B20" s="491" t="n"/>
      <c r="C20" s="491" t="n"/>
      <c r="D20" s="491" t="n"/>
      <c r="E20" s="491" t="n"/>
      <c r="F20" s="491" t="n"/>
      <c r="G20" s="491" t="n"/>
      <c r="H20" s="491" t="n"/>
      <c r="I20" s="481" t="n"/>
    </row>
    <row r="21" ht="17" customFormat="1" customHeight="1" s="177">
      <c r="A21" s="307" t="n">
        <v>2.4</v>
      </c>
      <c r="B21" s="308" t="inlineStr">
        <is>
          <t>Factory Overheads (2.4.1+2.4.2+2.4.3+2.4.4+2.4.5+2.4.6)</t>
        </is>
      </c>
      <c r="C21" s="139">
        <f>SUM(C22:C27)</f>
        <v/>
      </c>
      <c r="D21" s="139">
        <f>SUM(D22:D27)</f>
        <v/>
      </c>
      <c r="E21" s="139">
        <f>SUM(E22:E27)</f>
        <v/>
      </c>
      <c r="F21" s="139">
        <f>SUM(F22:F27)</f>
        <v/>
      </c>
      <c r="G21" s="139">
        <f>SUM(G22:G27)</f>
        <v/>
      </c>
      <c r="H21" s="139">
        <f>SUM(H22:H27)</f>
        <v/>
      </c>
      <c r="I21" s="139">
        <f>SUM(C21:H21)</f>
        <v/>
      </c>
      <c r="J21" s="182" t="n"/>
    </row>
    <row r="22" ht="17" customHeight="1" s="486">
      <c r="A22" s="258" t="inlineStr">
        <is>
          <t>2.4.1</t>
        </is>
      </c>
      <c r="B22" s="238" t="inlineStr">
        <is>
          <t>Rent and Rates</t>
        </is>
      </c>
      <c r="C22" s="44" t="n"/>
      <c r="D22" s="44" t="n"/>
      <c r="E22" s="44" t="n"/>
      <c r="F22" s="44" t="n"/>
      <c r="G22" s="44" t="n"/>
      <c r="H22" s="44" t="n"/>
      <c r="I22" s="139">
        <f>SUM(C22:H22)</f>
        <v/>
      </c>
    </row>
    <row r="23" ht="17" customHeight="1" s="486">
      <c r="A23" s="258" t="inlineStr">
        <is>
          <t>2.4.2</t>
        </is>
      </c>
      <c r="B23" s="238" t="inlineStr">
        <is>
          <t>Fuel and Power</t>
        </is>
      </c>
      <c r="C23" s="44" t="n"/>
      <c r="D23" s="44" t="n"/>
      <c r="E23" s="44" t="n"/>
      <c r="F23" s="44" t="n"/>
      <c r="G23" s="44" t="n"/>
      <c r="H23" s="44" t="n"/>
      <c r="I23" s="139">
        <f>SUM(C23:H23)</f>
        <v/>
      </c>
    </row>
    <row r="24" ht="17" customHeight="1" s="486">
      <c r="A24" s="258" t="inlineStr">
        <is>
          <t>2.4.3</t>
        </is>
      </c>
      <c r="B24" s="238" t="inlineStr">
        <is>
          <t>Indirect Wages</t>
        </is>
      </c>
      <c r="C24" s="44" t="n"/>
      <c r="D24" s="44" t="n"/>
      <c r="E24" s="44" t="n"/>
      <c r="F24" s="44" t="n"/>
      <c r="G24" s="44" t="n"/>
      <c r="H24" s="44" t="n"/>
      <c r="I24" s="139">
        <f>SUM(C24:H24)</f>
        <v/>
      </c>
    </row>
    <row r="25" ht="17" customHeight="1" s="486">
      <c r="A25" s="258" t="inlineStr">
        <is>
          <t>2.4.4</t>
        </is>
      </c>
      <c r="B25" s="238" t="inlineStr">
        <is>
          <t>Consumables</t>
        </is>
      </c>
      <c r="C25" s="44" t="n"/>
      <c r="D25" s="44" t="n"/>
      <c r="E25" s="44" t="n"/>
      <c r="F25" s="44" t="n"/>
      <c r="G25" s="44" t="n"/>
      <c r="H25" s="44" t="n"/>
      <c r="I25" s="139">
        <f>SUM(C25:H25)</f>
        <v/>
      </c>
    </row>
    <row r="26" ht="17" customHeight="1" s="486">
      <c r="A26" s="258" t="inlineStr">
        <is>
          <t>2.4.5</t>
        </is>
      </c>
      <c r="B26" s="238" t="inlineStr">
        <is>
          <t>Depreciation</t>
        </is>
      </c>
      <c r="C26" s="44" t="n"/>
      <c r="D26" s="44" t="n"/>
      <c r="E26" s="44" t="n"/>
      <c r="F26" s="44" t="n"/>
      <c r="G26" s="44" t="n"/>
      <c r="H26" s="44" t="n"/>
      <c r="I26" s="139">
        <f>SUM(C26:H26)</f>
        <v/>
      </c>
    </row>
    <row r="27" ht="17" customHeight="1" s="486">
      <c r="A27" s="258" t="inlineStr">
        <is>
          <t>2.4.6</t>
        </is>
      </c>
      <c r="B27" s="238" t="inlineStr">
        <is>
          <t>Other Overheads</t>
        </is>
      </c>
      <c r="C27" s="44" t="n"/>
      <c r="D27" s="44" t="n"/>
      <c r="E27" s="44" t="n"/>
      <c r="F27" s="44" t="n"/>
      <c r="G27" s="44" t="n"/>
      <c r="H27" s="44" t="n"/>
      <c r="I27" s="139">
        <f>SUM(C27:H27)</f>
        <v/>
      </c>
    </row>
    <row r="28" ht="16" customHeight="1" s="486">
      <c r="A28" s="512" t="n"/>
      <c r="B28" s="491" t="n"/>
      <c r="C28" s="491" t="n"/>
      <c r="D28" s="491" t="n"/>
      <c r="E28" s="491" t="n"/>
      <c r="F28" s="491" t="n"/>
      <c r="G28" s="491" t="n"/>
      <c r="H28" s="491" t="n"/>
      <c r="I28" s="481" t="n"/>
    </row>
    <row r="29" ht="17" customFormat="1" customHeight="1" s="177">
      <c r="A29" s="307" t="n">
        <v>2.5</v>
      </c>
      <c r="B29" s="308" t="inlineStr">
        <is>
          <t>Closing Stock (2.5.1+2.5.2+2.5.3)</t>
        </is>
      </c>
      <c r="C29" s="139">
        <f>SUM(C30:C32)</f>
        <v/>
      </c>
      <c r="D29" s="139">
        <f>SUM(D30:D32)</f>
        <v/>
      </c>
      <c r="E29" s="139">
        <f>SUM(E30:E32)</f>
        <v/>
      </c>
      <c r="F29" s="139">
        <f>SUM(F30:F32)</f>
        <v/>
      </c>
      <c r="G29" s="139">
        <f>SUM(G30:G32)</f>
        <v/>
      </c>
      <c r="H29" s="139">
        <f>SUM(H30:H32)</f>
        <v/>
      </c>
      <c r="I29" s="139">
        <f>SUM(C29:H29)</f>
        <v/>
      </c>
      <c r="J29" s="182" t="n"/>
    </row>
    <row r="30" ht="17" customHeight="1" s="486">
      <c r="A30" s="258" t="inlineStr">
        <is>
          <t>2.5.1</t>
        </is>
      </c>
      <c r="B30" s="238" t="inlineStr">
        <is>
          <t xml:space="preserve">Raw Materials </t>
        </is>
      </c>
      <c r="C30" s="44" t="n"/>
      <c r="D30" s="44" t="n"/>
      <c r="E30" s="44" t="n"/>
      <c r="F30" s="44" t="n"/>
      <c r="G30" s="44" t="n"/>
      <c r="H30" s="44" t="n"/>
      <c r="I30" s="139">
        <f>SUM(C30:H30)</f>
        <v/>
      </c>
    </row>
    <row r="31" ht="17" customHeight="1" s="486">
      <c r="A31" s="258" t="inlineStr">
        <is>
          <t>2.5.2</t>
        </is>
      </c>
      <c r="B31" s="238" t="inlineStr">
        <is>
          <t xml:space="preserve">Work in Progress </t>
        </is>
      </c>
      <c r="C31" s="44" t="n"/>
      <c r="D31" s="44" t="n"/>
      <c r="E31" s="44" t="n"/>
      <c r="F31" s="44" t="n"/>
      <c r="G31" s="44" t="n"/>
      <c r="H31" s="44" t="n"/>
      <c r="I31" s="139">
        <f>SUM(C31:H31)</f>
        <v/>
      </c>
    </row>
    <row r="32" ht="17" customHeight="1" s="486">
      <c r="A32" s="258" t="inlineStr">
        <is>
          <t>2.5.3</t>
        </is>
      </c>
      <c r="B32" s="238" t="inlineStr">
        <is>
          <t>Trading / Manufactured goods (Finished Goods)</t>
        </is>
      </c>
      <c r="C32" s="44" t="n"/>
      <c r="D32" s="44" t="n"/>
      <c r="E32" s="44" t="n"/>
      <c r="F32" s="44" t="n"/>
      <c r="G32" s="44" t="n"/>
      <c r="H32" s="44" t="n"/>
      <c r="I32" s="139">
        <f>SUM(C32:H32)</f>
        <v/>
      </c>
    </row>
    <row r="33" ht="16" customHeight="1" s="486">
      <c r="A33" s="512" t="n"/>
      <c r="B33" s="491" t="n"/>
      <c r="C33" s="491" t="n"/>
      <c r="D33" s="491" t="n"/>
      <c r="E33" s="491" t="n"/>
      <c r="F33" s="491" t="n"/>
      <c r="G33" s="491" t="n"/>
      <c r="H33" s="491" t="n"/>
      <c r="I33" s="481" t="n"/>
    </row>
    <row r="34" ht="17" customFormat="1" customHeight="1" s="177">
      <c r="A34" s="307" t="n">
        <v>3</v>
      </c>
      <c r="B34" s="308" t="inlineStr">
        <is>
          <t>Gross Profit / Surplus (1.0-2.0)</t>
        </is>
      </c>
      <c r="C34" s="139">
        <f>ROUND(C3,2)-ROUND(C7,2)</f>
        <v/>
      </c>
      <c r="D34" s="139">
        <f>ROUND(D3,2)-ROUND(D7,2)</f>
        <v/>
      </c>
      <c r="E34" s="139">
        <f>ROUND(E3,2)-ROUND(E7,2)</f>
        <v/>
      </c>
      <c r="F34" s="139">
        <f>ROUND(F3,2)-ROUND(F7,2)</f>
        <v/>
      </c>
      <c r="G34" s="139">
        <f>ROUND(G3,2)-ROUND(G7,2)</f>
        <v/>
      </c>
      <c r="H34" s="139">
        <f>ROUND(H3,2)-ROUND(H7,2)</f>
        <v/>
      </c>
      <c r="I34" s="139">
        <f>SUM(C34:H34)</f>
        <v/>
      </c>
      <c r="J34" s="182" t="n"/>
    </row>
    <row r="35" ht="16" customFormat="1" customHeight="1" s="177">
      <c r="A35" s="512" t="n"/>
      <c r="B35" s="491" t="n"/>
      <c r="C35" s="491" t="n"/>
      <c r="D35" s="491" t="n"/>
      <c r="E35" s="491" t="n"/>
      <c r="F35" s="491" t="n"/>
      <c r="G35" s="491" t="n"/>
      <c r="H35" s="491" t="n"/>
      <c r="I35" s="481" t="n"/>
      <c r="J35" s="182" t="n"/>
    </row>
    <row r="36" ht="17" customFormat="1" customHeight="1" s="177">
      <c r="A36" s="307" t="n">
        <v>4</v>
      </c>
      <c r="B36" s="308" t="inlineStr">
        <is>
          <t>Other Income (4.1+4.2+4.3+4.4+4.5+4.6+4.7+4.8+4.9+4.10+4.11)</t>
        </is>
      </c>
      <c r="C36" s="139">
        <f>SUM(C37:C47)</f>
        <v/>
      </c>
      <c r="D36" s="139">
        <f>SUM(D37:D47)</f>
        <v/>
      </c>
      <c r="E36" s="139">
        <f>SUM(E37:E47)</f>
        <v/>
      </c>
      <c r="F36" s="139">
        <f>SUM(F37:F47)</f>
        <v/>
      </c>
      <c r="G36" s="139">
        <f>SUM(G37:G47)</f>
        <v/>
      </c>
      <c r="H36" s="139">
        <f>SUM(H37:H47)</f>
        <v/>
      </c>
      <c r="I36" s="139">
        <f>SUM(C36:H36)</f>
        <v/>
      </c>
      <c r="J36" s="182" t="n"/>
    </row>
    <row r="37" ht="17" customHeight="1" s="486">
      <c r="A37" s="258" t="n">
        <v>4.1</v>
      </c>
      <c r="B37" s="238" t="inlineStr">
        <is>
          <t xml:space="preserve">Dividend </t>
        </is>
      </c>
      <c r="C37" s="44" t="n"/>
      <c r="D37" s="44" t="n"/>
      <c r="E37" s="44" t="n"/>
      <c r="F37" s="44" t="n"/>
      <c r="G37" s="44" t="n"/>
      <c r="H37" s="44" t="n"/>
      <c r="I37" s="139">
        <f>SUM(C37:H37)</f>
        <v/>
      </c>
    </row>
    <row r="38" ht="17" customHeight="1" s="486">
      <c r="A38" s="258" t="n">
        <v>4.2</v>
      </c>
      <c r="B38" s="238" t="inlineStr">
        <is>
          <t>Annuity</t>
        </is>
      </c>
      <c r="C38" s="44" t="n"/>
      <c r="D38" s="44" t="n"/>
      <c r="E38" s="44" t="n"/>
      <c r="F38" s="44" t="n"/>
      <c r="G38" s="44" t="n"/>
      <c r="H38" s="44" t="n"/>
      <c r="I38" s="139">
        <f>SUM(C38:H38)</f>
        <v/>
      </c>
    </row>
    <row r="39" ht="17" customHeight="1" s="486">
      <c r="A39" s="258" t="n">
        <v>4.3</v>
      </c>
      <c r="B39" s="238" t="inlineStr">
        <is>
          <t>Natural Resource Receipts</t>
        </is>
      </c>
      <c r="C39" s="44" t="n"/>
      <c r="D39" s="44" t="n"/>
      <c r="E39" s="44" t="n"/>
      <c r="F39" s="44" t="n"/>
      <c r="G39" s="44" t="n"/>
      <c r="H39" s="44" t="n"/>
      <c r="I39" s="139">
        <f>SUM(C39:H39)</f>
        <v/>
      </c>
    </row>
    <row r="40" ht="17" customHeight="1" s="486">
      <c r="A40" s="258" t="n">
        <v>4.4</v>
      </c>
      <c r="B40" s="238" t="inlineStr">
        <is>
          <t xml:space="preserve">Royalties </t>
        </is>
      </c>
      <c r="C40" s="44" t="n"/>
      <c r="D40" s="44" t="n"/>
      <c r="E40" s="44" t="n"/>
      <c r="F40" s="44" t="n"/>
      <c r="G40" s="44" t="n"/>
      <c r="H40" s="44" t="n"/>
      <c r="I40" s="139">
        <f>SUM(C40:H40)</f>
        <v/>
      </c>
    </row>
    <row r="41" ht="17.25" customHeight="1" s="486">
      <c r="A41" s="258" t="n">
        <v>4.5</v>
      </c>
      <c r="B41" s="238" t="inlineStr">
        <is>
          <t>Gifts in connection with the use or exploitation of property</t>
        </is>
      </c>
      <c r="C41" s="44" t="n"/>
      <c r="D41" s="44" t="n"/>
      <c r="E41" s="44" t="n"/>
      <c r="F41" s="44" t="n"/>
      <c r="G41" s="44" t="n"/>
      <c r="H41" s="44" t="n"/>
      <c r="I41" s="139">
        <f>SUM(C41:H41)</f>
        <v/>
      </c>
    </row>
    <row r="42" ht="17" customHeight="1" s="486">
      <c r="A42" s="258" t="n">
        <v>4.6</v>
      </c>
      <c r="B42" s="238" t="inlineStr">
        <is>
          <t xml:space="preserve">Profit / Surplus on Disposal of Assets </t>
        </is>
      </c>
      <c r="C42" s="44" t="n"/>
      <c r="D42" s="44" t="n"/>
      <c r="E42" s="44" t="n"/>
      <c r="F42" s="44" t="n"/>
      <c r="G42" s="44" t="n"/>
      <c r="H42" s="44" t="n"/>
      <c r="I42" s="139">
        <f>SUM(C42:H42)</f>
        <v/>
      </c>
    </row>
    <row r="43" ht="17" customHeight="1" s="486">
      <c r="A43" s="258" t="n">
        <v>4.7</v>
      </c>
      <c r="B43" s="238" t="inlineStr">
        <is>
          <t>Realized Exchange Gain</t>
        </is>
      </c>
      <c r="C43" s="44" t="n"/>
      <c r="D43" s="44" t="n"/>
      <c r="E43" s="44" t="n"/>
      <c r="F43" s="44" t="n"/>
      <c r="G43" s="44" t="n"/>
      <c r="H43" s="44" t="n"/>
      <c r="I43" s="139">
        <f>SUM(C43:H43)</f>
        <v/>
      </c>
    </row>
    <row r="44" ht="17" customHeight="1" s="486">
      <c r="A44" s="258" t="n">
        <v>4.8</v>
      </c>
      <c r="B44" s="238" t="inlineStr">
        <is>
          <t>Unrealized Exchange Gain</t>
        </is>
      </c>
      <c r="C44" s="44" t="n"/>
      <c r="D44" s="44" t="n"/>
      <c r="E44" s="44" t="n"/>
      <c r="F44" s="44" t="n"/>
      <c r="G44" s="44" t="n"/>
      <c r="H44" s="44" t="n"/>
      <c r="I44" s="139">
        <f>SUM(C44:H44)</f>
        <v/>
      </c>
    </row>
    <row r="45" ht="17" customHeight="1" s="486">
      <c r="A45" s="258" t="n">
        <v>4.9</v>
      </c>
      <c r="B45" s="238" t="inlineStr">
        <is>
          <t>Bad Debts Recovered</t>
        </is>
      </c>
      <c r="C45" s="44" t="n"/>
      <c r="D45" s="44" t="n"/>
      <c r="E45" s="44" t="n"/>
      <c r="F45" s="44" t="n"/>
      <c r="G45" s="44" t="n"/>
      <c r="H45" s="44" t="n"/>
      <c r="I45" s="139">
        <f>SUM(C45:H45)</f>
        <v/>
      </c>
    </row>
    <row r="46" ht="17" customHeight="1" s="486">
      <c r="A46" s="259" t="inlineStr">
        <is>
          <t>4.10</t>
        </is>
      </c>
      <c r="B46" s="238" t="inlineStr">
        <is>
          <t>Insurance Compensation</t>
        </is>
      </c>
      <c r="C46" s="44" t="n"/>
      <c r="D46" s="44" t="n"/>
      <c r="E46" s="44" t="n"/>
      <c r="F46" s="44" t="n"/>
      <c r="G46" s="44" t="n"/>
      <c r="H46" s="44" t="n"/>
      <c r="I46" s="139">
        <f>SUM(C46:H46)</f>
        <v/>
      </c>
    </row>
    <row r="47" ht="17" customHeight="1" s="486">
      <c r="A47" s="259" t="inlineStr">
        <is>
          <t>4.11</t>
        </is>
      </c>
      <c r="B47" s="238" t="inlineStr">
        <is>
          <t>Other Income (Part II Total of "Total of Other Income")</t>
        </is>
      </c>
      <c r="C47" s="139">
        <f>PLA.OIBussW</f>
        <v/>
      </c>
      <c r="D47" s="139">
        <f>PLA.OIFarmW</f>
        <v/>
      </c>
      <c r="E47" s="139">
        <f>PLA.OIRentW</f>
        <v/>
      </c>
      <c r="F47" s="139">
        <f>PLA.OIIntW</f>
        <v/>
      </c>
      <c r="G47" s="139">
        <f>PLA.OICommW</f>
        <v/>
      </c>
      <c r="H47" s="139">
        <f>PLA.OIOthW</f>
        <v/>
      </c>
      <c r="I47" s="139">
        <f>SUM(C47:H47)</f>
        <v/>
      </c>
    </row>
    <row r="48" ht="16" customHeight="1" s="486">
      <c r="A48" s="512" t="n"/>
      <c r="B48" s="491" t="n"/>
      <c r="C48" s="491" t="n"/>
      <c r="D48" s="491" t="n"/>
      <c r="E48" s="491" t="n"/>
      <c r="F48" s="491" t="n"/>
      <c r="G48" s="491" t="n"/>
      <c r="H48" s="491" t="n"/>
      <c r="I48" s="481" t="n"/>
    </row>
    <row r="49" ht="17" customFormat="1" customHeight="1" s="177">
      <c r="A49" s="307" t="n">
        <v>5</v>
      </c>
      <c r="B49" s="308" t="inlineStr">
        <is>
          <t>Operating Expenses (5.1 to 5.28)</t>
        </is>
      </c>
      <c r="C49" s="139">
        <f>SUM(C50:C77)</f>
        <v/>
      </c>
      <c r="D49" s="139">
        <f>SUM(D50:D77)</f>
        <v/>
      </c>
      <c r="E49" s="139">
        <f>SUM(E50:E77)</f>
        <v/>
      </c>
      <c r="F49" s="139">
        <f>SUM(F50:F77)</f>
        <v/>
      </c>
      <c r="G49" s="139">
        <f>SUM(G50:G77)</f>
        <v/>
      </c>
      <c r="H49" s="139">
        <f>SUM(H50:H77)</f>
        <v/>
      </c>
      <c r="I49" s="139">
        <f>SUM(C49:H49)</f>
        <v/>
      </c>
      <c r="J49" s="182" t="n"/>
    </row>
    <row r="50" ht="17" customHeight="1" s="486">
      <c r="A50" s="258" t="n">
        <v>5.1</v>
      </c>
      <c r="B50" s="238" t="inlineStr">
        <is>
          <t xml:space="preserve">Advertisement </t>
        </is>
      </c>
      <c r="C50" s="44" t="n"/>
      <c r="D50" s="44" t="n"/>
      <c r="E50" s="44" t="n"/>
      <c r="F50" s="44" t="n"/>
      <c r="G50" s="44" t="n"/>
      <c r="H50" s="44" t="n"/>
      <c r="I50" s="139">
        <f>SUM(C50:H50)</f>
        <v/>
      </c>
    </row>
    <row r="51" ht="17" customHeight="1" s="486">
      <c r="A51" s="258" t="n">
        <v>5.2</v>
      </c>
      <c r="B51" s="238" t="inlineStr">
        <is>
          <t>Audit Expenses</t>
        </is>
      </c>
      <c r="C51" s="44" t="n"/>
      <c r="D51" s="44" t="n"/>
      <c r="E51" s="44" t="n"/>
      <c r="F51" s="44" t="n"/>
      <c r="G51" s="44" t="n"/>
      <c r="H51" s="44" t="n"/>
      <c r="I51" s="139">
        <f>SUM(C51:H51)</f>
        <v/>
      </c>
    </row>
    <row r="52" ht="17" customHeight="1" s="486">
      <c r="A52" s="258" t="n">
        <v>5.3</v>
      </c>
      <c r="B52" s="238" t="inlineStr">
        <is>
          <t>Bad Debts Written Off</t>
        </is>
      </c>
      <c r="C52" s="44" t="n"/>
      <c r="D52" s="44" t="n"/>
      <c r="E52" s="44" t="n"/>
      <c r="F52" s="44" t="n"/>
      <c r="G52" s="44" t="n"/>
      <c r="H52" s="44" t="n"/>
      <c r="I52" s="139">
        <f>SUM(C52:H52)</f>
        <v/>
      </c>
    </row>
    <row r="53" ht="17" customHeight="1" s="486">
      <c r="A53" s="258" t="n">
        <v>5.4</v>
      </c>
      <c r="B53" s="238" t="inlineStr">
        <is>
          <t xml:space="preserve">Commission </t>
        </is>
      </c>
      <c r="C53" s="44" t="n"/>
      <c r="D53" s="44" t="n"/>
      <c r="E53" s="44" t="n"/>
      <c r="F53" s="44" t="n"/>
      <c r="G53" s="44" t="n"/>
      <c r="H53" s="44" t="n"/>
      <c r="I53" s="139">
        <f>SUM(C53:H53)</f>
        <v/>
      </c>
    </row>
    <row r="54" ht="17" customHeight="1" s="486">
      <c r="A54" s="258" t="n">
        <v>5.5</v>
      </c>
      <c r="B54" s="238" t="inlineStr">
        <is>
          <t>Computer Expenses</t>
        </is>
      </c>
      <c r="C54" s="44" t="n"/>
      <c r="D54" s="44" t="n"/>
      <c r="E54" s="44" t="n"/>
      <c r="F54" s="44" t="n"/>
      <c r="G54" s="44" t="n"/>
      <c r="H54" s="44" t="n"/>
      <c r="I54" s="139">
        <f>SUM(C54:H54)</f>
        <v/>
      </c>
    </row>
    <row r="55" ht="17" customHeight="1" s="486">
      <c r="A55" s="258" t="n">
        <v>5.6</v>
      </c>
      <c r="B55" s="238" t="inlineStr">
        <is>
          <t>Consumption of Stores and Spare Parts</t>
        </is>
      </c>
      <c r="C55" s="44" t="n"/>
      <c r="D55" s="44" t="n"/>
      <c r="E55" s="44" t="n"/>
      <c r="F55" s="44" t="n"/>
      <c r="G55" s="44" t="n"/>
      <c r="H55" s="44" t="n"/>
      <c r="I55" s="139">
        <f>SUM(C55:H55)</f>
        <v/>
      </c>
    </row>
    <row r="56" ht="17" customHeight="1" s="486">
      <c r="A56" s="258" t="n">
        <v>5.7</v>
      </c>
      <c r="B56" s="238" t="inlineStr">
        <is>
          <t>Conveyance Expenses</t>
        </is>
      </c>
      <c r="C56" s="44" t="n"/>
      <c r="D56" s="44" t="n"/>
      <c r="E56" s="44" t="n"/>
      <c r="F56" s="44" t="n"/>
      <c r="G56" s="44" t="n"/>
      <c r="H56" s="44" t="n"/>
      <c r="I56" s="139">
        <f>SUM(C56:H56)</f>
        <v/>
      </c>
    </row>
    <row r="57" ht="17" customHeight="1" s="486">
      <c r="A57" s="258" t="n">
        <v>5.8</v>
      </c>
      <c r="B57" s="238" t="inlineStr">
        <is>
          <t>Donations</t>
        </is>
      </c>
      <c r="C57" s="44" t="n"/>
      <c r="D57" s="44" t="n"/>
      <c r="E57" s="44" t="n"/>
      <c r="F57" s="44" t="n"/>
      <c r="G57" s="44" t="n"/>
      <c r="H57" s="44" t="n"/>
      <c r="I57" s="139">
        <f>SUM(C57:H57)</f>
        <v/>
      </c>
    </row>
    <row r="58" ht="17" customHeight="1" s="486">
      <c r="A58" s="258" t="n">
        <v>5.9</v>
      </c>
      <c r="B58" s="238" t="inlineStr">
        <is>
          <t>Entertainment</t>
        </is>
      </c>
      <c r="C58" s="44" t="n"/>
      <c r="D58" s="44" t="n"/>
      <c r="E58" s="44" t="n"/>
      <c r="F58" s="44" t="n"/>
      <c r="G58" s="44" t="n"/>
      <c r="H58" s="44" t="n"/>
      <c r="I58" s="139">
        <f>SUM(C58:H58)</f>
        <v/>
      </c>
    </row>
    <row r="59" ht="17" customHeight="1" s="486">
      <c r="A59" s="259" t="inlineStr">
        <is>
          <t>5.10</t>
        </is>
      </c>
      <c r="B59" s="238" t="inlineStr">
        <is>
          <t xml:space="preserve">Freight and Transport </t>
        </is>
      </c>
      <c r="C59" s="44" t="n"/>
      <c r="D59" s="44" t="n"/>
      <c r="E59" s="44" t="n"/>
      <c r="F59" s="44" t="n"/>
      <c r="G59" s="44" t="n"/>
      <c r="H59" s="44" t="n"/>
      <c r="I59" s="139">
        <f>SUM(C59:H59)</f>
        <v/>
      </c>
    </row>
    <row r="60" ht="17" customHeight="1" s="486">
      <c r="A60" s="258" t="n">
        <v>5.11</v>
      </c>
      <c r="B60" s="238" t="inlineStr">
        <is>
          <t>Gifts</t>
        </is>
      </c>
      <c r="C60" s="44" t="n"/>
      <c r="D60" s="44" t="n"/>
      <c r="E60" s="44" t="n"/>
      <c r="F60" s="44" t="n"/>
      <c r="G60" s="44" t="n"/>
      <c r="H60" s="44" t="n"/>
      <c r="I60" s="139">
        <f>SUM(C60:H60)</f>
        <v/>
      </c>
    </row>
    <row r="61" ht="17" customHeight="1" s="486">
      <c r="A61" s="258" t="n">
        <v>5.12</v>
      </c>
      <c r="B61" s="238" t="inlineStr">
        <is>
          <t>Hotel, Boarding and Lodging Expenses</t>
        </is>
      </c>
      <c r="C61" s="44" t="n"/>
      <c r="D61" s="44" t="n"/>
      <c r="E61" s="44" t="n"/>
      <c r="F61" s="44" t="n"/>
      <c r="G61" s="44" t="n"/>
      <c r="H61" s="44" t="n"/>
      <c r="I61" s="139">
        <f>SUM(C61:H61)</f>
        <v/>
      </c>
    </row>
    <row r="62" ht="17" customHeight="1" s="486">
      <c r="A62" s="258" t="n">
        <v>5.13</v>
      </c>
      <c r="B62" s="238" t="inlineStr">
        <is>
          <t>Legal Expenses</t>
        </is>
      </c>
      <c r="C62" s="44" t="n"/>
      <c r="D62" s="44" t="n"/>
      <c r="E62" s="44" t="n"/>
      <c r="F62" s="44" t="n"/>
      <c r="G62" s="44" t="n"/>
      <c r="H62" s="44" t="n"/>
      <c r="I62" s="139">
        <f>SUM(C62:H62)</f>
        <v/>
      </c>
    </row>
    <row r="63" ht="17" customHeight="1" s="486">
      <c r="A63" s="258" t="n">
        <v>5.14</v>
      </c>
      <c r="B63" s="238" t="inlineStr">
        <is>
          <t>Power and Fuel</t>
        </is>
      </c>
      <c r="C63" s="44" t="n"/>
      <c r="D63" s="44" t="n"/>
      <c r="E63" s="44" t="n"/>
      <c r="F63" s="44" t="n"/>
      <c r="G63" s="44" t="n"/>
      <c r="H63" s="44" t="n"/>
      <c r="I63" s="139">
        <f>SUM(C63:H63)</f>
        <v/>
      </c>
    </row>
    <row r="64" ht="17" customHeight="1" s="486">
      <c r="A64" s="258" t="n">
        <v>5.15</v>
      </c>
      <c r="B64" s="238" t="inlineStr">
        <is>
          <t>Provision for Bad and Doubtful Debts</t>
        </is>
      </c>
      <c r="C64" s="44" t="n"/>
      <c r="D64" s="44" t="n"/>
      <c r="E64" s="44" t="n"/>
      <c r="F64" s="44" t="n"/>
      <c r="G64" s="44" t="n"/>
      <c r="H64" s="44" t="n"/>
      <c r="I64" s="139">
        <f>SUM(C64:H64)</f>
        <v/>
      </c>
    </row>
    <row r="65" ht="17" customHeight="1" s="486">
      <c r="A65" s="258" t="n">
        <v>5.16</v>
      </c>
      <c r="B65" s="238" t="inlineStr">
        <is>
          <t>Rent Expenses for Premises</t>
        </is>
      </c>
      <c r="C65" s="44" t="n"/>
      <c r="D65" s="44" t="n"/>
      <c r="E65" s="44" t="n"/>
      <c r="F65" s="44" t="n"/>
      <c r="G65" s="44" t="n"/>
      <c r="H65" s="44" t="n"/>
      <c r="I65" s="139">
        <f>SUM(C65:H65)</f>
        <v/>
      </c>
    </row>
    <row r="66" ht="17" customHeight="1" s="486">
      <c r="A66" s="258" t="n">
        <v>5.17</v>
      </c>
      <c r="B66" s="238" t="inlineStr">
        <is>
          <t>Repairs of Building</t>
        </is>
      </c>
      <c r="C66" s="44" t="n"/>
      <c r="D66" s="44" t="n"/>
      <c r="E66" s="44" t="n"/>
      <c r="F66" s="44" t="n"/>
      <c r="G66" s="44" t="n"/>
      <c r="H66" s="44" t="n"/>
      <c r="I66" s="139">
        <f>SUM(C66:H66)</f>
        <v/>
      </c>
    </row>
    <row r="67" ht="17" customHeight="1" s="486">
      <c r="A67" s="258" t="n">
        <v>5.18</v>
      </c>
      <c r="B67" s="238" t="inlineStr">
        <is>
          <t>Repairs of Machinery</t>
        </is>
      </c>
      <c r="C67" s="44" t="n"/>
      <c r="D67" s="44" t="n"/>
      <c r="E67" s="44" t="n"/>
      <c r="F67" s="44" t="n"/>
      <c r="G67" s="44" t="n"/>
      <c r="H67" s="44" t="n"/>
      <c r="I67" s="139">
        <f>SUM(C67:H67)</f>
        <v/>
      </c>
    </row>
    <row r="68" ht="17" customHeight="1" s="486">
      <c r="A68" s="258" t="n">
        <v>5.19</v>
      </c>
      <c r="B68" s="238" t="inlineStr">
        <is>
          <t>Sales Promotion including Publicity (other than Advertisement)</t>
        </is>
      </c>
      <c r="C68" s="44" t="n"/>
      <c r="D68" s="44" t="n"/>
      <c r="E68" s="44" t="n"/>
      <c r="F68" s="44" t="n"/>
      <c r="G68" s="44" t="n"/>
      <c r="H68" s="44" t="n"/>
      <c r="I68" s="139">
        <f>SUM(C68:H68)</f>
        <v/>
      </c>
    </row>
    <row r="69" ht="17" customHeight="1" s="486">
      <c r="A69" s="259" t="inlineStr">
        <is>
          <t>5.20</t>
        </is>
      </c>
      <c r="B69" s="238" t="inlineStr">
        <is>
          <t>Staff Welfare Expenses</t>
        </is>
      </c>
      <c r="C69" s="44" t="n"/>
      <c r="D69" s="44" t="n"/>
      <c r="E69" s="44" t="n"/>
      <c r="F69" s="44" t="n"/>
      <c r="G69" s="44" t="n"/>
      <c r="H69" s="44" t="n"/>
      <c r="I69" s="139">
        <f>SUM(C69:H69)</f>
        <v/>
      </c>
    </row>
    <row r="70" ht="17" customHeight="1" s="486">
      <c r="A70" s="258" t="n">
        <v>5.21</v>
      </c>
      <c r="B70" s="238" t="inlineStr">
        <is>
          <t>Start up cost / Pre - Operating Expenses</t>
        </is>
      </c>
      <c r="C70" s="44" t="n"/>
      <c r="D70" s="44" t="n"/>
      <c r="E70" s="44" t="n"/>
      <c r="F70" s="44" t="n"/>
      <c r="G70" s="44" t="n"/>
      <c r="H70" s="44" t="n"/>
      <c r="I70" s="139">
        <f>SUM(C70:H70)</f>
        <v/>
      </c>
    </row>
    <row r="71" ht="17" customHeight="1" s="486">
      <c r="A71" s="258" t="n">
        <v>5.22</v>
      </c>
      <c r="B71" s="238" t="inlineStr">
        <is>
          <t>Stationery &amp; Printing</t>
        </is>
      </c>
      <c r="C71" s="44" t="n"/>
      <c r="D71" s="44" t="n"/>
      <c r="E71" s="44" t="n"/>
      <c r="F71" s="44" t="n"/>
      <c r="G71" s="44" t="n"/>
      <c r="H71" s="44" t="n"/>
      <c r="I71" s="139">
        <f>SUM(C71:H71)</f>
        <v/>
      </c>
    </row>
    <row r="72" ht="17" customHeight="1" s="486">
      <c r="A72" s="258" t="n">
        <v>5.23</v>
      </c>
      <c r="B72" s="238" t="inlineStr">
        <is>
          <t>Subsistence Allowance</t>
        </is>
      </c>
      <c r="C72" s="44" t="n"/>
      <c r="D72" s="44" t="n"/>
      <c r="E72" s="44" t="n"/>
      <c r="F72" s="44" t="n"/>
      <c r="G72" s="44" t="n"/>
      <c r="H72" s="44" t="n"/>
      <c r="I72" s="139">
        <f>SUM(C72:H72)</f>
        <v/>
      </c>
    </row>
    <row r="73" ht="17" customHeight="1" s="486">
      <c r="A73" s="258" t="n">
        <v>5.24</v>
      </c>
      <c r="B73" s="238" t="inlineStr">
        <is>
          <t>Telephone Expenses</t>
        </is>
      </c>
      <c r="C73" s="44" t="n"/>
      <c r="D73" s="44" t="n"/>
      <c r="E73" s="44" t="n"/>
      <c r="F73" s="44" t="n"/>
      <c r="G73" s="44" t="n"/>
      <c r="H73" s="44" t="n"/>
      <c r="I73" s="139">
        <f>SUM(C73:H73)</f>
        <v/>
      </c>
    </row>
    <row r="74" ht="17" customHeight="1" s="486">
      <c r="A74" s="258" t="n">
        <v>5.25</v>
      </c>
      <c r="B74" s="238" t="inlineStr">
        <is>
          <t>Training Expenditure</t>
        </is>
      </c>
      <c r="C74" s="44" t="n"/>
      <c r="D74" s="44" t="n"/>
      <c r="E74" s="44" t="n"/>
      <c r="F74" s="44" t="n"/>
      <c r="G74" s="44" t="n"/>
      <c r="H74" s="44" t="n"/>
      <c r="I74" s="139">
        <f>SUM(C74:H74)</f>
        <v/>
      </c>
    </row>
    <row r="75" ht="17" customHeight="1" s="486">
      <c r="A75" s="258" t="n">
        <v>5.26</v>
      </c>
      <c r="B75" s="238" t="inlineStr">
        <is>
          <t xml:space="preserve">Travelling Expenses including Foreign Travelling </t>
        </is>
      </c>
      <c r="C75" s="44" t="n"/>
      <c r="D75" s="44" t="n"/>
      <c r="E75" s="44" t="n"/>
      <c r="F75" s="44" t="n"/>
      <c r="G75" s="44" t="n"/>
      <c r="H75" s="44" t="n"/>
      <c r="I75" s="139">
        <f>SUM(C75:H75)</f>
        <v/>
      </c>
    </row>
    <row r="76" ht="17" customHeight="1" s="486">
      <c r="A76" s="258" t="n">
        <v>5.27</v>
      </c>
      <c r="B76" s="238" t="inlineStr">
        <is>
          <t>Work Shop - Conference Expenses</t>
        </is>
      </c>
      <c r="C76" s="44" t="n"/>
      <c r="D76" s="44" t="n"/>
      <c r="E76" s="44" t="n"/>
      <c r="F76" s="44" t="n"/>
      <c r="G76" s="44" t="n"/>
      <c r="H76" s="44" t="n"/>
      <c r="I76" s="139">
        <f>SUM(C76:H76)</f>
        <v/>
      </c>
    </row>
    <row r="77" ht="17" customHeight="1" s="486">
      <c r="A77" s="258" t="n">
        <v>5.28</v>
      </c>
      <c r="B77" s="238" t="inlineStr">
        <is>
          <t>Livestock, game and produce bought or received in exchange</t>
        </is>
      </c>
      <c r="C77" s="139">
        <f>defaultZero</f>
        <v/>
      </c>
      <c r="D77" s="44" t="n"/>
      <c r="E77" s="139">
        <f>defaultZero</f>
        <v/>
      </c>
      <c r="F77" s="139">
        <f>defaultZero</f>
        <v/>
      </c>
      <c r="G77" s="139">
        <f>defaultZero</f>
        <v/>
      </c>
      <c r="H77" s="139">
        <f>defaultZero</f>
        <v/>
      </c>
      <c r="I77" s="139">
        <f>SUM(C77:H77)</f>
        <v/>
      </c>
    </row>
    <row r="78" ht="16" customHeight="1" s="486">
      <c r="A78" s="512" t="n"/>
      <c r="B78" s="491" t="n"/>
      <c r="C78" s="491" t="n"/>
      <c r="D78" s="491" t="n"/>
      <c r="E78" s="491" t="n"/>
      <c r="F78" s="491" t="n"/>
      <c r="G78" s="491" t="n"/>
      <c r="H78" s="491" t="n"/>
      <c r="I78" s="481" t="n"/>
    </row>
    <row r="79" ht="17" customFormat="1" customHeight="1" s="177">
      <c r="A79" s="307" t="n">
        <v>6</v>
      </c>
      <c r="B79" s="308" t="inlineStr">
        <is>
          <t>Administrative Expenses (6.1+6.2+6.3+6.4+6.5)</t>
        </is>
      </c>
      <c r="C79" s="139">
        <f>SUM(C80:C83)+C85</f>
        <v/>
      </c>
      <c r="D79" s="139">
        <f>SUM(D80:D83)+D85</f>
        <v/>
      </c>
      <c r="E79" s="139">
        <f>SUM(E80:E83)+E85</f>
        <v/>
      </c>
      <c r="F79" s="139">
        <f>SUM(F80:F83)+F85</f>
        <v/>
      </c>
      <c r="G79" s="139">
        <f>SUM(G80:G83)+G85</f>
        <v/>
      </c>
      <c r="H79" s="139">
        <f>SUM(H80:H83)+H85</f>
        <v/>
      </c>
      <c r="I79" s="139">
        <f>SUM(C79:H79)</f>
        <v/>
      </c>
      <c r="J79" s="182" t="n"/>
    </row>
    <row r="80" ht="17" customHeight="1" s="486">
      <c r="A80" s="258" t="n">
        <v>6.1</v>
      </c>
      <c r="B80" s="238" t="inlineStr">
        <is>
          <t>Depreciation</t>
        </is>
      </c>
      <c r="C80" s="44" t="n"/>
      <c r="D80" s="44" t="n"/>
      <c r="E80" s="44" t="n"/>
      <c r="F80" s="44" t="n"/>
      <c r="G80" s="44" t="n"/>
      <c r="H80" s="44" t="n"/>
      <c r="I80" s="139">
        <f>SUM(C80:H80)</f>
        <v/>
      </c>
    </row>
    <row r="81" ht="17" customHeight="1" s="486">
      <c r="A81" s="258" t="n">
        <v>6.2</v>
      </c>
      <c r="B81" s="238" t="inlineStr">
        <is>
          <t>Loss on disposal of Assets</t>
        </is>
      </c>
      <c r="C81" s="44" t="n"/>
      <c r="D81" s="44" t="n"/>
      <c r="E81" s="44" t="n"/>
      <c r="F81" s="44" t="n"/>
      <c r="G81" s="44" t="n"/>
      <c r="H81" s="44" t="n"/>
      <c r="I81" s="139">
        <f>SUM(C81:H81)</f>
        <v/>
      </c>
    </row>
    <row r="82" ht="17" customHeight="1" s="486">
      <c r="A82" s="258" t="n">
        <v>6.3</v>
      </c>
      <c r="B82" s="238" t="inlineStr">
        <is>
          <t>Scientific Research Expenses</t>
        </is>
      </c>
      <c r="C82" s="44" t="n"/>
      <c r="D82" s="44" t="n"/>
      <c r="E82" s="44" t="n"/>
      <c r="F82" s="44" t="n"/>
      <c r="G82" s="44" t="n"/>
      <c r="H82" s="44" t="n"/>
      <c r="I82" s="139">
        <f>SUM(C82:H82)</f>
        <v/>
      </c>
    </row>
    <row r="83" ht="17" customHeight="1" s="486">
      <c r="A83" s="258" t="n">
        <v>6.4</v>
      </c>
      <c r="B83" s="238" t="inlineStr">
        <is>
          <t>Management Fees</t>
        </is>
      </c>
      <c r="C83" s="44" t="n"/>
      <c r="D83" s="44" t="n"/>
      <c r="E83" s="44" t="n"/>
      <c r="F83" s="44" t="n"/>
      <c r="G83" s="44" t="n"/>
      <c r="H83" s="44" t="n"/>
      <c r="I83" s="139">
        <f>SUM(C83:H83)</f>
        <v/>
      </c>
    </row>
    <row r="84" ht="16" customHeight="1" s="486">
      <c r="A84" s="512" t="n"/>
      <c r="B84" s="491" t="n"/>
      <c r="C84" s="491" t="n"/>
      <c r="D84" s="491" t="n"/>
      <c r="E84" s="491" t="n"/>
      <c r="F84" s="491" t="n"/>
      <c r="G84" s="491" t="n"/>
      <c r="H84" s="491" t="n"/>
      <c r="I84" s="481" t="n"/>
    </row>
    <row r="85" ht="16.5" customFormat="1" customHeight="1" s="177">
      <c r="A85" s="307" t="n">
        <v>6.5</v>
      </c>
      <c r="B85" s="308" t="inlineStr">
        <is>
          <t>Employment Expenses (6.5.1+6.5.2+6.5.3+6.5.4+6.5.5+6.5.6+6.5.7+6.5.8+6.5.9)</t>
        </is>
      </c>
      <c r="C85" s="139">
        <f>SUM(C86:C94)</f>
        <v/>
      </c>
      <c r="D85" s="139">
        <f>SUM(D86:D94)</f>
        <v/>
      </c>
      <c r="E85" s="139">
        <f>SUM(E86:E94)</f>
        <v/>
      </c>
      <c r="F85" s="139">
        <f>SUM(F86:F94)</f>
        <v/>
      </c>
      <c r="G85" s="139">
        <f>SUM(G86:G94)</f>
        <v/>
      </c>
      <c r="H85" s="139">
        <f>SUM(H86:H94)</f>
        <v/>
      </c>
      <c r="I85" s="139">
        <f>SUM(C85:H85)</f>
        <v/>
      </c>
      <c r="J85" s="182" t="n"/>
    </row>
    <row r="86" ht="17" customHeight="1" s="486">
      <c r="A86" s="258" t="inlineStr">
        <is>
          <t>6.5.1</t>
        </is>
      </c>
      <c r="B86" s="238" t="inlineStr">
        <is>
          <t>Salaries and Wages</t>
        </is>
      </c>
      <c r="C86" s="44" t="n"/>
      <c r="D86" s="44" t="n"/>
      <c r="E86" s="44" t="n"/>
      <c r="F86" s="44" t="n"/>
      <c r="G86" s="44" t="n"/>
      <c r="H86" s="44" t="n"/>
      <c r="I86" s="139">
        <f>SUM(C86:H86)</f>
        <v/>
      </c>
    </row>
    <row r="87" ht="17" customHeight="1" s="486">
      <c r="A87" s="258" t="inlineStr">
        <is>
          <t>6.5.2</t>
        </is>
      </c>
      <c r="B87" s="238" t="inlineStr">
        <is>
          <t>Bonus</t>
        </is>
      </c>
      <c r="C87" s="44" t="n"/>
      <c r="D87" s="44" t="n"/>
      <c r="E87" s="44" t="n"/>
      <c r="F87" s="44" t="n"/>
      <c r="G87" s="44" t="n"/>
      <c r="H87" s="44" t="n"/>
      <c r="I87" s="139">
        <f>SUM(C87:H87)</f>
        <v/>
      </c>
    </row>
    <row r="88" ht="17" customHeight="1" s="486">
      <c r="A88" s="258" t="inlineStr">
        <is>
          <t>6.5.3</t>
        </is>
      </c>
      <c r="B88" s="238" t="inlineStr">
        <is>
          <t>Reimbursement of Medical Expenses</t>
        </is>
      </c>
      <c r="C88" s="44" t="n"/>
      <c r="D88" s="44" t="n"/>
      <c r="E88" s="44" t="n"/>
      <c r="F88" s="44" t="n"/>
      <c r="G88" s="44" t="n"/>
      <c r="H88" s="44" t="n"/>
      <c r="I88" s="139">
        <f>SUM(C88:H88)</f>
        <v/>
      </c>
    </row>
    <row r="89" ht="17" customHeight="1" s="486">
      <c r="A89" s="258" t="inlineStr">
        <is>
          <t>6.5.4</t>
        </is>
      </c>
      <c r="B89" s="238" t="inlineStr">
        <is>
          <t>Leave Encashment</t>
        </is>
      </c>
      <c r="C89" s="44" t="n"/>
      <c r="D89" s="44" t="n"/>
      <c r="E89" s="44" t="n"/>
      <c r="F89" s="44" t="n"/>
      <c r="G89" s="44" t="n"/>
      <c r="H89" s="44" t="n"/>
      <c r="I89" s="139">
        <f>SUM(C89:H89)</f>
        <v/>
      </c>
    </row>
    <row r="90" ht="17" customHeight="1" s="486">
      <c r="A90" s="258" t="inlineStr">
        <is>
          <t>6.5.5</t>
        </is>
      </c>
      <c r="B90" s="238" t="inlineStr">
        <is>
          <t>Leave Travel Benefits</t>
        </is>
      </c>
      <c r="C90" s="44" t="n"/>
      <c r="D90" s="44" t="n"/>
      <c r="E90" s="44" t="n"/>
      <c r="F90" s="44" t="n"/>
      <c r="G90" s="44" t="n"/>
      <c r="H90" s="44" t="n"/>
      <c r="I90" s="139">
        <f>SUM(C90:H90)</f>
        <v/>
      </c>
    </row>
    <row r="91" ht="17" customHeight="1" s="486">
      <c r="A91" s="258" t="inlineStr">
        <is>
          <t>6.5.6</t>
        </is>
      </c>
      <c r="B91" s="238" t="inlineStr">
        <is>
          <t>Rent Expenses for Employees</t>
        </is>
      </c>
      <c r="C91" s="44" t="n"/>
      <c r="D91" s="44" t="n"/>
      <c r="E91" s="44" t="n"/>
      <c r="F91" s="44" t="n"/>
      <c r="G91" s="44" t="n"/>
      <c r="H91" s="44" t="n"/>
      <c r="I91" s="139">
        <f>SUM(C91:H91)</f>
        <v/>
      </c>
    </row>
    <row r="92" ht="17" customHeight="1" s="486">
      <c r="A92" s="258" t="inlineStr">
        <is>
          <t>6.5.7</t>
        </is>
      </c>
      <c r="B92" s="238" t="inlineStr">
        <is>
          <t>Contribution to Retirement Fund</t>
        </is>
      </c>
      <c r="C92" s="44" t="n"/>
      <c r="D92" s="44" t="n"/>
      <c r="E92" s="44" t="n"/>
      <c r="F92" s="44" t="n"/>
      <c r="G92" s="44" t="n"/>
      <c r="H92" s="44" t="n"/>
      <c r="I92" s="139">
        <f>SUM(C92:H92)</f>
        <v/>
      </c>
    </row>
    <row r="93" ht="17" customHeight="1" s="486">
      <c r="A93" s="258" t="inlineStr">
        <is>
          <t>6.5.8</t>
        </is>
      </c>
      <c r="B93" s="238" t="inlineStr">
        <is>
          <t>Contribution to any Other Fund</t>
        </is>
      </c>
      <c r="C93" s="44" t="n"/>
      <c r="D93" s="44" t="n"/>
      <c r="E93" s="44" t="n"/>
      <c r="F93" s="44" t="n"/>
      <c r="G93" s="44" t="n"/>
      <c r="H93" s="44" t="n"/>
      <c r="I93" s="139">
        <f>SUM(C93:H93)</f>
        <v/>
      </c>
    </row>
    <row r="94" ht="17" customHeight="1" s="486">
      <c r="A94" s="258" t="inlineStr">
        <is>
          <t>6.5.9</t>
        </is>
      </c>
      <c r="B94" s="238" t="inlineStr">
        <is>
          <t>Any Other Employment Cost</t>
        </is>
      </c>
      <c r="C94" s="44" t="n"/>
      <c r="D94" s="44" t="n"/>
      <c r="E94" s="44" t="n"/>
      <c r="F94" s="44" t="n"/>
      <c r="G94" s="44" t="n"/>
      <c r="H94" s="44" t="n"/>
      <c r="I94" s="139">
        <f>SUM(C94:H94)</f>
        <v/>
      </c>
    </row>
    <row r="95" ht="16" customHeight="1" s="486">
      <c r="A95" s="512" t="n"/>
      <c r="B95" s="491" t="n"/>
      <c r="C95" s="491" t="n"/>
      <c r="D95" s="491" t="n"/>
      <c r="E95" s="491" t="n"/>
      <c r="F95" s="491" t="n"/>
      <c r="G95" s="491" t="n"/>
      <c r="H95" s="491" t="n"/>
      <c r="I95" s="481" t="n"/>
    </row>
    <row r="96" ht="17" customFormat="1" customHeight="1" s="177">
      <c r="A96" s="307" t="n">
        <v>7</v>
      </c>
      <c r="B96" s="308" t="inlineStr">
        <is>
          <t>Financial Expenses (7.1+7.2+7.3+7.4+7.5+7.6)</t>
        </is>
      </c>
      <c r="C96" s="139">
        <f>SUM(C97:C102)</f>
        <v/>
      </c>
      <c r="D96" s="139">
        <f>SUM(D97:D102)</f>
        <v/>
      </c>
      <c r="E96" s="139">
        <f>SUM(E97:E102)</f>
        <v/>
      </c>
      <c r="F96" s="139">
        <f>SUM(F97:F102)</f>
        <v/>
      </c>
      <c r="G96" s="139">
        <f>SUM(G97:G102)</f>
        <v/>
      </c>
      <c r="H96" s="139">
        <f>SUM(H97:H102)</f>
        <v/>
      </c>
      <c r="I96" s="139">
        <f>SUM(C96:H96)</f>
        <v/>
      </c>
      <c r="J96" s="182" t="n"/>
    </row>
    <row r="97" ht="17" customHeight="1" s="486">
      <c r="A97" s="258" t="n">
        <v>7.1</v>
      </c>
      <c r="B97" s="238" t="inlineStr">
        <is>
          <t xml:space="preserve">Interest Expense </t>
        </is>
      </c>
      <c r="C97" s="44" t="n"/>
      <c r="D97" s="44" t="n"/>
      <c r="E97" s="44" t="n"/>
      <c r="F97" s="44" t="n"/>
      <c r="G97" s="44" t="n"/>
      <c r="H97" s="44" t="n"/>
      <c r="I97" s="139">
        <f>SUM(C97:H97)</f>
        <v/>
      </c>
    </row>
    <row r="98" ht="17" customHeight="1" s="486">
      <c r="A98" s="258" t="n">
        <v>7.2</v>
      </c>
      <c r="B98" s="238" t="inlineStr">
        <is>
          <t>Bank Charges</t>
        </is>
      </c>
      <c r="C98" s="44" t="n"/>
      <c r="D98" s="44" t="n"/>
      <c r="E98" s="44" t="n"/>
      <c r="F98" s="44" t="n"/>
      <c r="G98" s="44" t="n"/>
      <c r="H98" s="44" t="n"/>
      <c r="I98" s="139">
        <f>SUM(C98:H98)</f>
        <v/>
      </c>
    </row>
    <row r="99" ht="17" customHeight="1" s="486">
      <c r="A99" s="258" t="n">
        <v>7.3</v>
      </c>
      <c r="B99" s="238" t="inlineStr">
        <is>
          <t>Commitment Fees</t>
        </is>
      </c>
      <c r="C99" s="44" t="n"/>
      <c r="D99" s="44" t="n"/>
      <c r="E99" s="44" t="n"/>
      <c r="F99" s="44" t="n"/>
      <c r="G99" s="44" t="n"/>
      <c r="H99" s="44" t="n"/>
      <c r="I99" s="139">
        <f>SUM(C99:H99)</f>
        <v/>
      </c>
    </row>
    <row r="100" ht="17" customHeight="1" s="486">
      <c r="A100" s="258" t="n">
        <v>7.4</v>
      </c>
      <c r="B100" s="238" t="inlineStr">
        <is>
          <t>Insurance</t>
        </is>
      </c>
      <c r="C100" s="44" t="n"/>
      <c r="D100" s="44" t="n"/>
      <c r="E100" s="44" t="n"/>
      <c r="F100" s="44" t="n"/>
      <c r="G100" s="44" t="n"/>
      <c r="H100" s="44" t="n"/>
      <c r="I100" s="139">
        <f>SUM(C100:H100)</f>
        <v/>
      </c>
    </row>
    <row r="101" ht="17" customHeight="1" s="486">
      <c r="A101" s="258" t="n">
        <v>7.5</v>
      </c>
      <c r="B101" s="238" t="inlineStr">
        <is>
          <t>Realized Exchange Loss</t>
        </is>
      </c>
      <c r="C101" s="44" t="n"/>
      <c r="D101" s="44" t="n"/>
      <c r="E101" s="44" t="n"/>
      <c r="F101" s="44" t="n"/>
      <c r="G101" s="44" t="n"/>
      <c r="H101" s="44" t="n"/>
      <c r="I101" s="139">
        <f>SUM(C101:H101)</f>
        <v/>
      </c>
    </row>
    <row r="102" ht="17" customHeight="1" s="486">
      <c r="A102" s="258" t="n">
        <v>7.6</v>
      </c>
      <c r="B102" s="238" t="inlineStr">
        <is>
          <t>Unrealized Exchange Loss</t>
        </is>
      </c>
      <c r="C102" s="44" t="n"/>
      <c r="D102" s="44" t="n"/>
      <c r="E102" s="44" t="n"/>
      <c r="F102" s="44" t="n"/>
      <c r="G102" s="44" t="n"/>
      <c r="H102" s="44" t="n"/>
      <c r="I102" s="139">
        <f>SUM(C102:H102)</f>
        <v/>
      </c>
    </row>
    <row r="103" ht="16" customHeight="1" s="486">
      <c r="A103" s="512" t="n"/>
      <c r="B103" s="491" t="n"/>
      <c r="C103" s="491" t="n"/>
      <c r="D103" s="491" t="n"/>
      <c r="E103" s="491" t="n"/>
      <c r="F103" s="491" t="n"/>
      <c r="G103" s="491" t="n"/>
      <c r="H103" s="491" t="n"/>
      <c r="I103" s="481" t="n"/>
    </row>
    <row r="104" ht="16.5" customFormat="1" customHeight="1" s="177">
      <c r="A104" s="307" t="n">
        <v>8</v>
      </c>
      <c r="B104" s="309" t="inlineStr">
        <is>
          <t>Other Expenses (Part I Total of "Total of Other Expenses")</t>
        </is>
      </c>
      <c r="C104" s="139">
        <f>PLA.OEBussW</f>
        <v/>
      </c>
      <c r="D104" s="139">
        <f>PLA.OEFarmW</f>
        <v/>
      </c>
      <c r="E104" s="139">
        <f>PLA.OERentW</f>
        <v/>
      </c>
      <c r="F104" s="139">
        <f>PLA.OEIntW</f>
        <v/>
      </c>
      <c r="G104" s="139">
        <f>PLA.OECommW</f>
        <v/>
      </c>
      <c r="H104" s="139">
        <f>PLA.OEOthW</f>
        <v/>
      </c>
      <c r="I104" s="139">
        <f>SUM(C104:H104)</f>
        <v/>
      </c>
      <c r="J104" s="182" t="n"/>
    </row>
    <row r="105" ht="16" customHeight="1" s="486">
      <c r="A105" s="512" t="n"/>
      <c r="B105" s="491" t="n"/>
      <c r="C105" s="491" t="n"/>
      <c r="D105" s="491" t="n"/>
      <c r="E105" s="491" t="n"/>
      <c r="F105" s="491" t="n"/>
      <c r="G105" s="491" t="n"/>
      <c r="H105" s="491" t="n"/>
      <c r="I105" s="481" t="n"/>
    </row>
    <row r="106" ht="18" customFormat="1" customHeight="1" s="177">
      <c r="A106" s="307" t="n">
        <v>9</v>
      </c>
      <c r="B106" s="308" t="inlineStr">
        <is>
          <t>Profit / Surplus / (Loss) before Tax (3 + 4  - 5 - 6 - 7 - 8)</t>
        </is>
      </c>
      <c r="C106" s="139">
        <f>ROUND(C34,2)+ROUND(C36,2)-ROUND(C49,2)-ROUND(C104,2)-ROUND(C79,2)-ROUND(C96,2)</f>
        <v/>
      </c>
      <c r="D106" s="139">
        <f>ROUND(D34,2)+ROUND(D36,2)-ROUND(D49,2)-ROUND(D104,2)-ROUND(D79,2)-ROUND(D96,2)</f>
        <v/>
      </c>
      <c r="E106" s="139">
        <f>ROUND(E34,2)+ROUND(E36,2)-ROUND(E49,2)-ROUND(E104,2)-ROUND(E79,2)-ROUND(E96,2)</f>
        <v/>
      </c>
      <c r="F106" s="139">
        <f>ROUND(F34,2)+ROUND(F36,2)-ROUND(F49,2)-ROUND(F104,2)-ROUND(F79,2)-ROUND(F96,2)</f>
        <v/>
      </c>
      <c r="G106" s="139">
        <f>ROUND(G34,2)+ROUND(G36,2)-ROUND(G49,2)-ROUND(G104,2)-ROUND(G79,2)-ROUND(G96,2)</f>
        <v/>
      </c>
      <c r="H106" s="139">
        <f>ROUND(H34,2)+ROUND(H36,2)-ROUND(H49,2)-ROUND(H104,2)-ROUND(H79,2)-ROUND(H96,2)</f>
        <v/>
      </c>
      <c r="I106" s="139">
        <f>SUM(C106:H106)</f>
        <v/>
      </c>
      <c r="J106" s="182" t="n"/>
    </row>
    <row r="107" ht="18" customFormat="1" customHeight="1" s="177">
      <c r="A107" s="512" t="n"/>
      <c r="B107" s="491" t="n"/>
      <c r="C107" s="491" t="n"/>
      <c r="D107" s="491" t="n"/>
      <c r="E107" s="491" t="n"/>
      <c r="F107" s="491" t="n"/>
      <c r="G107" s="491" t="n"/>
      <c r="H107" s="491" t="n"/>
      <c r="I107" s="481" t="n"/>
      <c r="J107" s="182" t="n"/>
    </row>
    <row r="108" ht="17" customHeight="1" s="486">
      <c r="A108" s="258" t="n">
        <v>10</v>
      </c>
      <c r="B108" s="238" t="inlineStr">
        <is>
          <t>Income Tax Expense</t>
        </is>
      </c>
      <c r="C108" s="44" t="n"/>
      <c r="D108" s="44" t="n"/>
      <c r="E108" s="44" t="n"/>
      <c r="F108" s="44" t="n"/>
      <c r="G108" s="44" t="n"/>
      <c r="H108" s="44" t="n"/>
      <c r="I108" s="44" t="n"/>
    </row>
    <row r="109" ht="17" customFormat="1" customHeight="1" s="177">
      <c r="A109" s="307" t="n">
        <v>11</v>
      </c>
      <c r="B109" s="308" t="inlineStr">
        <is>
          <t>Profit / Surplus / (Loss) after tax carried to Balance Sheet (9(Consolidated)-10)</t>
        </is>
      </c>
      <c r="C109" s="139" t="n"/>
      <c r="D109" s="139" t="n"/>
      <c r="E109" s="139" t="n"/>
      <c r="F109" s="139" t="n"/>
      <c r="G109" s="139" t="n"/>
      <c r="H109" s="139" t="n"/>
      <c r="I109" s="139">
        <f>ROUND(I106,2)-ROUND(I108,2)</f>
        <v/>
      </c>
      <c r="J109" s="182" t="n"/>
    </row>
    <row r="110" ht="16" customFormat="1" customHeight="1" s="183">
      <c r="A110" s="182" t="n"/>
      <c r="B110" s="182" t="inlineStr">
        <is>
          <t>lookup</t>
        </is>
      </c>
      <c r="C110" s="182" t="inlineStr">
        <is>
          <t>PLABUSSW</t>
        </is>
      </c>
      <c r="D110" s="182" t="inlineStr">
        <is>
          <t>PLAFARMW</t>
        </is>
      </c>
      <c r="E110" s="182" t="inlineStr">
        <is>
          <t>PLARENTW</t>
        </is>
      </c>
      <c r="F110" s="182" t="inlineStr">
        <is>
          <t>PLAINTW</t>
        </is>
      </c>
      <c r="G110" s="182" t="inlineStr">
        <is>
          <t>PLACOMMW</t>
        </is>
      </c>
      <c r="H110" s="182" t="inlineStr">
        <is>
          <t>PLAOTHRW</t>
        </is>
      </c>
      <c r="I110" s="182" t="inlineStr">
        <is>
          <t>PLACNSLW</t>
        </is>
      </c>
      <c r="J110" s="182" t="n"/>
    </row>
    <row r="111" ht="16" customHeight="1" s="486">
      <c r="A111" s="179" t="n"/>
      <c r="B111" s="179" t="n"/>
      <c r="C111" s="179" t="n"/>
      <c r="D111" s="179" t="n"/>
      <c r="E111" s="179" t="n"/>
      <c r="F111" s="179" t="n"/>
      <c r="G111" s="179" t="n"/>
      <c r="H111" s="179" t="n"/>
      <c r="I111" s="179" t="n"/>
    </row>
    <row r="112" ht="37.5" customHeight="1" s="486">
      <c r="A112" s="179" t="n"/>
      <c r="B112" s="511" t="inlineStr">
        <is>
          <t>Part I : Other Expenses (Describe the Head of Expense)</t>
        </is>
      </c>
      <c r="C112" s="491" t="n"/>
      <c r="D112" s="491" t="n"/>
      <c r="E112" s="491" t="n"/>
      <c r="F112" s="491" t="n"/>
      <c r="G112" s="491" t="n"/>
      <c r="H112" s="481" t="n"/>
      <c r="I112" s="179" t="n"/>
      <c r="K112" s="175" t="n"/>
      <c r="L112" s="175" t="n"/>
    </row>
    <row r="113" ht="21" customHeight="1" s="486">
      <c r="A113" s="179" t="n"/>
      <c r="B113" s="545" t="inlineStr">
        <is>
          <t>Name of Expense</t>
        </is>
      </c>
      <c r="C113" s="545" t="inlineStr">
        <is>
          <t>Business (Ksh)</t>
        </is>
      </c>
      <c r="D113" s="545" t="inlineStr">
        <is>
          <t>Farming (Ksh)</t>
        </is>
      </c>
      <c r="E113" s="545" t="inlineStr">
        <is>
          <t>Rental (Ksh)</t>
        </is>
      </c>
      <c r="F113" s="545" t="inlineStr">
        <is>
          <t>Interest (Ksh)</t>
        </is>
      </c>
      <c r="G113" s="545" t="inlineStr">
        <is>
          <t>Commission (Ksh)</t>
        </is>
      </c>
      <c r="H113" s="545" t="inlineStr">
        <is>
          <t>Other (Ksh)</t>
        </is>
      </c>
      <c r="I113" s="179" t="n"/>
    </row>
    <row r="114" ht="16" customFormat="1" customHeight="1" s="525">
      <c r="A114" s="179" t="n"/>
      <c r="B114" s="286" t="n"/>
      <c r="C114" s="44" t="n"/>
      <c r="D114" s="44" t="n"/>
      <c r="E114" s="44" t="n"/>
      <c r="F114" s="44" t="n"/>
      <c r="G114" s="44" t="n"/>
      <c r="H114" s="44" t="n"/>
      <c r="I114" s="161">
        <f>IF(COUNTBLANK(B114:H114)=7,"","PlaExNEW")</f>
        <v/>
      </c>
      <c r="J114" s="182" t="n"/>
    </row>
    <row r="115" ht="16" customFormat="1" customHeight="1" s="525">
      <c r="A115" s="179" t="n"/>
      <c r="B115" s="286" t="n"/>
      <c r="C115" s="44" t="n"/>
      <c r="D115" s="44" t="n"/>
      <c r="E115" s="44" t="n"/>
      <c r="F115" s="44" t="n"/>
      <c r="G115" s="44" t="n"/>
      <c r="H115" s="44" t="n"/>
      <c r="I115" s="161">
        <f>IF(COUNTBLANK(B115:H115)=7,"","PlaExNEW")</f>
        <v/>
      </c>
      <c r="J115" s="182" t="n"/>
    </row>
    <row r="116" ht="16" customFormat="1" customHeight="1" s="525">
      <c r="A116" s="179" t="n"/>
      <c r="B116" s="286" t="n"/>
      <c r="C116" s="44" t="n"/>
      <c r="D116" s="44" t="n"/>
      <c r="E116" s="44" t="n"/>
      <c r="F116" s="44" t="n"/>
      <c r="G116" s="44" t="n"/>
      <c r="H116" s="44" t="n"/>
      <c r="I116" s="161">
        <f>IF(COUNTBLANK(B116:H116)=7,"","PlaExNEW")</f>
        <v/>
      </c>
      <c r="J116" s="182" t="n"/>
    </row>
    <row r="117" ht="16" customFormat="1" customHeight="1" s="525">
      <c r="A117" s="179" t="n"/>
      <c r="B117" s="286" t="n"/>
      <c r="C117" s="44" t="n"/>
      <c r="D117" s="44" t="n"/>
      <c r="E117" s="44" t="n"/>
      <c r="F117" s="44" t="n"/>
      <c r="G117" s="44" t="n"/>
      <c r="H117" s="44" t="n"/>
      <c r="I117" s="161">
        <f>IF(COUNTBLANK(B117:H117)=7,"","PlaExNEW")</f>
        <v/>
      </c>
      <c r="J117" s="182" t="n"/>
    </row>
    <row r="118" ht="16" customFormat="1" customHeight="1" s="525">
      <c r="A118" s="179" t="n"/>
      <c r="B118" s="286" t="n"/>
      <c r="C118" s="44" t="n"/>
      <c r="D118" s="44" t="n"/>
      <c r="E118" s="44" t="n"/>
      <c r="F118" s="44" t="n"/>
      <c r="G118" s="44" t="n"/>
      <c r="H118" s="44" t="n"/>
      <c r="I118" s="161">
        <f>IF(COUNTBLANK(B118:H118)=7,"","PlaExNEW")</f>
        <v/>
      </c>
      <c r="J118" s="182" t="n"/>
    </row>
    <row r="119" ht="16.5" customFormat="1" customHeight="1" s="525">
      <c r="A119" s="179" t="n"/>
      <c r="B119" s="181" t="inlineStr">
        <is>
          <t>Total of Other Expenses</t>
        </is>
      </c>
      <c r="C119" s="139">
        <f>SUM(C114:OFFSET(PLA.OEBussW,-1,0))</f>
        <v/>
      </c>
      <c r="D119" s="139">
        <f>SUM(D114:OFFSET(PLA.OEFarmW,-1,0))</f>
        <v/>
      </c>
      <c r="E119" s="139">
        <f>SUM(E114:OFFSET(PLA.OERentW,-1,0))</f>
        <v/>
      </c>
      <c r="F119" s="139">
        <f>SUM(F114:OFFSET(PLA.OEIntW,-1,0))</f>
        <v/>
      </c>
      <c r="G119" s="139">
        <f>SUM(G114:OFFSET(PLA.OECommW,-1,0))</f>
        <v/>
      </c>
      <c r="H119" s="139">
        <f>SUM(H114:OFFSET(PLA.OEOthW,-1,0))</f>
        <v/>
      </c>
      <c r="I119" s="179" t="n"/>
      <c r="J119" s="182" t="n"/>
    </row>
    <row r="120" ht="37.5" customFormat="1" customHeight="1" s="525">
      <c r="A120" s="206" t="n"/>
      <c r="B120" s="206" t="n"/>
      <c r="C120" s="206" t="n"/>
      <c r="D120" s="206" t="n"/>
      <c r="E120" s="206" t="n"/>
      <c r="F120" s="179" t="n"/>
      <c r="G120" s="179" t="n"/>
      <c r="H120" s="179" t="n"/>
      <c r="I120" s="179" t="n"/>
      <c r="J120" s="182" t="n"/>
      <c r="K120" s="179" t="n"/>
      <c r="L120" s="179" t="n"/>
      <c r="M120" s="179" t="n"/>
      <c r="N120" s="179" t="n"/>
      <c r="O120" s="179" t="n"/>
      <c r="P120" s="179" t="n"/>
      <c r="Q120" s="179" t="n"/>
      <c r="R120" s="179" t="n"/>
      <c r="S120" s="179" t="n"/>
      <c r="T120" s="179" t="n"/>
      <c r="U120" s="179" t="n"/>
      <c r="V120" s="179" t="n"/>
      <c r="W120" s="179" t="n"/>
      <c r="X120" s="179" t="n"/>
      <c r="Y120" s="179" t="n"/>
      <c r="Z120" s="179" t="n"/>
      <c r="AA120" s="179" t="n"/>
      <c r="AB120" s="179" t="n"/>
      <c r="AC120" s="179" t="n"/>
      <c r="AD120" s="179" t="n"/>
      <c r="AE120" s="179" t="n"/>
      <c r="AF120" s="179" t="n"/>
      <c r="AG120" s="179" t="n"/>
      <c r="AH120" s="179" t="n"/>
      <c r="AI120" s="179" t="n"/>
      <c r="AJ120" s="179" t="n"/>
      <c r="AK120" s="179" t="n"/>
      <c r="AL120" s="179" t="n"/>
      <c r="AM120" s="179" t="n"/>
      <c r="AN120" s="179" t="n"/>
      <c r="AO120" s="179" t="n"/>
      <c r="AP120" s="179" t="n"/>
      <c r="AQ120" s="179" t="n"/>
      <c r="AR120" s="179" t="n"/>
      <c r="AS120" s="179" t="n"/>
      <c r="AT120" s="179" t="n"/>
      <c r="AU120" s="179" t="n"/>
      <c r="AV120" s="179" t="n"/>
      <c r="AW120" s="179" t="n"/>
      <c r="AX120" s="179" t="n"/>
      <c r="AY120" s="179" t="n"/>
      <c r="AZ120" s="179" t="n"/>
      <c r="BA120" s="179" t="n"/>
      <c r="BB120" s="179" t="n"/>
      <c r="BC120" s="179" t="n"/>
      <c r="BD120" s="179" t="n"/>
      <c r="BE120" s="179" t="n"/>
      <c r="BF120" s="179" t="n"/>
      <c r="BG120" s="179" t="n"/>
      <c r="BH120" s="179" t="n"/>
      <c r="BI120" s="179" t="n"/>
      <c r="BJ120" s="179" t="n"/>
      <c r="BK120" s="179" t="n"/>
      <c r="BL120" s="179" t="n"/>
      <c r="BM120" s="179" t="n"/>
      <c r="BN120" s="179" t="n"/>
      <c r="BO120" s="179" t="n"/>
      <c r="BP120" s="179" t="n"/>
      <c r="BQ120" s="179" t="n"/>
      <c r="BR120" s="179" t="n"/>
      <c r="BS120" s="179" t="n"/>
      <c r="BT120" s="179" t="n"/>
      <c r="BU120" s="179" t="n"/>
      <c r="BV120" s="179" t="n"/>
      <c r="BW120" s="179" t="n"/>
      <c r="BX120" s="179" t="n"/>
      <c r="BY120" s="179" t="n"/>
      <c r="BZ120" s="179" t="n"/>
      <c r="CA120" s="179" t="n"/>
      <c r="CB120" s="179" t="n"/>
      <c r="CC120" s="179" t="n"/>
      <c r="CD120" s="179" t="n"/>
      <c r="CE120" s="179" t="n"/>
      <c r="CF120" s="179" t="n"/>
      <c r="CG120" s="179" t="n"/>
      <c r="CH120" s="179" t="n"/>
      <c r="CI120" s="179" t="n"/>
      <c r="CJ120" s="179" t="n"/>
      <c r="CK120" s="179" t="n"/>
      <c r="CL120" s="179" t="n"/>
      <c r="CM120" s="179" t="n"/>
      <c r="CN120" s="179" t="n"/>
      <c r="CO120" s="179" t="n"/>
      <c r="CP120" s="179" t="n"/>
      <c r="CQ120" s="179" t="n"/>
      <c r="CR120" s="179" t="n"/>
      <c r="CS120" s="179" t="n"/>
      <c r="CT120" s="179" t="n"/>
      <c r="CU120" s="179" t="n"/>
      <c r="CV120" s="179" t="n"/>
      <c r="CW120" s="179" t="n"/>
      <c r="CX120" s="179" t="n"/>
      <c r="CY120" s="179" t="n"/>
      <c r="CZ120" s="179" t="n"/>
      <c r="DA120" s="179" t="n"/>
      <c r="DB120" s="179" t="n"/>
      <c r="DC120" s="179" t="n"/>
      <c r="DD120" s="179" t="n"/>
      <c r="DE120" s="179" t="n"/>
      <c r="DF120" s="179" t="n"/>
      <c r="DG120" s="179" t="n"/>
      <c r="DH120" s="179" t="n"/>
      <c r="DI120" s="179" t="n"/>
      <c r="DJ120" s="179" t="n"/>
      <c r="DK120" s="179" t="n"/>
      <c r="DL120" s="179" t="n"/>
      <c r="DM120" s="179" t="n"/>
      <c r="DN120" s="179" t="n"/>
      <c r="DO120" s="179" t="n"/>
      <c r="DP120" s="179" t="n"/>
      <c r="DQ120" s="179" t="n"/>
      <c r="DR120" s="179" t="n"/>
      <c r="DS120" s="179" t="n"/>
      <c r="DT120" s="179" t="n"/>
      <c r="DU120" s="179" t="n"/>
      <c r="DV120" s="179" t="n"/>
      <c r="DW120" s="179" t="n"/>
      <c r="DX120" s="179" t="n"/>
      <c r="DY120" s="179" t="n"/>
      <c r="DZ120" s="179" t="n"/>
      <c r="EA120" s="179" t="n"/>
      <c r="EB120" s="179" t="n"/>
      <c r="EC120" s="179" t="n"/>
      <c r="ED120" s="179" t="n"/>
      <c r="EE120" s="179" t="n"/>
      <c r="EF120" s="179" t="n"/>
      <c r="EG120" s="179" t="n"/>
      <c r="EH120" s="179" t="n"/>
      <c r="EI120" s="179" t="n"/>
      <c r="EJ120" s="179" t="n"/>
      <c r="EK120" s="179" t="n"/>
      <c r="EL120" s="179" t="n"/>
      <c r="EM120" s="179" t="n"/>
      <c r="EN120" s="179" t="n"/>
      <c r="EO120" s="179" t="n"/>
      <c r="EP120" s="179" t="n"/>
      <c r="EQ120" s="179" t="n"/>
      <c r="ER120" s="179" t="n"/>
      <c r="ES120" s="179" t="n"/>
      <c r="ET120" s="179" t="n"/>
      <c r="EU120" s="179" t="n"/>
      <c r="EV120" s="179" t="n"/>
      <c r="EW120" s="179" t="n"/>
      <c r="EX120" s="179" t="n"/>
      <c r="EY120" s="179" t="n"/>
      <c r="EZ120" s="179" t="n"/>
      <c r="FA120" s="179" t="n"/>
      <c r="FB120" s="179" t="n"/>
      <c r="FC120" s="179" t="n"/>
      <c r="FD120" s="179" t="n"/>
      <c r="FE120" s="179" t="n"/>
      <c r="FF120" s="179" t="n"/>
      <c r="FG120" s="179" t="n"/>
      <c r="FH120" s="179" t="n"/>
      <c r="FI120" s="179" t="n"/>
      <c r="FJ120" s="179" t="n"/>
      <c r="FK120" s="179" t="n"/>
      <c r="FL120" s="179" t="n"/>
      <c r="FM120" s="179" t="n"/>
      <c r="FN120" s="179" t="n"/>
      <c r="FO120" s="179" t="n"/>
      <c r="FP120" s="179" t="n"/>
      <c r="FQ120" s="179" t="n"/>
      <c r="FR120" s="179" t="n"/>
      <c r="FS120" s="179" t="n"/>
      <c r="FT120" s="179" t="n"/>
      <c r="FU120" s="179" t="n"/>
      <c r="FV120" s="179" t="n"/>
      <c r="FW120" s="179" t="n"/>
      <c r="FX120" s="179" t="n"/>
      <c r="FY120" s="179" t="n"/>
      <c r="FZ120" s="179" t="n"/>
      <c r="GA120" s="179" t="n"/>
      <c r="GB120" s="179" t="n"/>
      <c r="GC120" s="179" t="n"/>
      <c r="GD120" s="179" t="n"/>
      <c r="GE120" s="179" t="n"/>
      <c r="GF120" s="179" t="n"/>
      <c r="GG120" s="179" t="n"/>
      <c r="GH120" s="179" t="n"/>
      <c r="GI120" s="179" t="n"/>
      <c r="GJ120" s="179" t="n"/>
      <c r="GK120" s="179" t="n"/>
      <c r="GL120" s="179" t="n"/>
      <c r="GM120" s="179" t="n"/>
      <c r="GN120" s="179" t="n"/>
      <c r="GO120" s="179" t="n"/>
      <c r="GP120" s="179" t="n"/>
      <c r="GQ120" s="179" t="n"/>
      <c r="GR120" s="179" t="n"/>
      <c r="GS120" s="179" t="n"/>
      <c r="GT120" s="179" t="n"/>
      <c r="GU120" s="179" t="n"/>
      <c r="GV120" s="179" t="n"/>
      <c r="GW120" s="179" t="n"/>
      <c r="GX120" s="179" t="n"/>
      <c r="GY120" s="179" t="n"/>
      <c r="GZ120" s="179" t="n"/>
      <c r="HA120" s="179" t="n"/>
      <c r="HB120" s="179" t="n"/>
      <c r="HC120" s="179" t="n"/>
      <c r="HD120" s="179" t="n"/>
      <c r="HE120" s="179" t="n"/>
      <c r="HF120" s="179" t="n"/>
      <c r="HG120" s="179" t="n"/>
      <c r="HH120" s="179" t="n"/>
      <c r="HI120" s="179" t="n"/>
      <c r="HJ120" s="179" t="n"/>
      <c r="HK120" s="179" t="n"/>
      <c r="HL120" s="179" t="n"/>
      <c r="HM120" s="179" t="n"/>
      <c r="HN120" s="179" t="n"/>
      <c r="HO120" s="179" t="n"/>
      <c r="HP120" s="179" t="n"/>
      <c r="HQ120" s="179" t="n"/>
      <c r="HR120" s="179" t="n"/>
      <c r="HS120" s="179" t="n"/>
      <c r="HT120" s="179" t="n"/>
      <c r="HU120" s="179" t="n"/>
      <c r="HV120" s="179" t="n"/>
      <c r="HW120" s="179" t="n"/>
      <c r="HX120" s="179" t="n"/>
      <c r="HY120" s="179" t="n"/>
      <c r="HZ120" s="179" t="n"/>
      <c r="IA120" s="179" t="n"/>
      <c r="IB120" s="179" t="n"/>
      <c r="IC120" s="179" t="n"/>
      <c r="ID120" s="179" t="n"/>
      <c r="IE120" s="179" t="n"/>
      <c r="IF120" s="179" t="n"/>
      <c r="IG120" s="179" t="n"/>
      <c r="IH120" s="179" t="n"/>
      <c r="II120" s="179" t="n"/>
      <c r="IJ120" s="179" t="n"/>
      <c r="IK120" s="179" t="n"/>
      <c r="IL120" s="179" t="n"/>
      <c r="IM120" s="179" t="n"/>
      <c r="IN120" s="179" t="n"/>
      <c r="IO120" s="179" t="n"/>
      <c r="IP120" s="179" t="n"/>
      <c r="IQ120" s="179" t="n"/>
      <c r="IR120" s="179" t="n"/>
      <c r="IS120" s="179" t="n"/>
      <c r="IT120" s="179" t="n"/>
      <c r="IU120" s="179" t="n"/>
      <c r="IV120" s="179" t="n"/>
    </row>
    <row r="121" ht="37.5" customFormat="1" customHeight="1" s="525">
      <c r="A121" s="206" t="n"/>
      <c r="B121" s="511" t="inlineStr">
        <is>
          <t>Part II : Other Income (Describe the Head of Income)</t>
        </is>
      </c>
      <c r="C121" s="491" t="n"/>
      <c r="D121" s="491" t="n"/>
      <c r="E121" s="491" t="n"/>
      <c r="F121" s="491" t="n"/>
      <c r="G121" s="491" t="n"/>
      <c r="H121" s="481" t="n"/>
      <c r="I121" s="179" t="n"/>
      <c r="J121" s="182" t="n"/>
      <c r="K121" s="179" t="n"/>
      <c r="L121" s="179" t="n"/>
      <c r="M121" s="179" t="n"/>
      <c r="N121" s="179" t="n"/>
      <c r="O121" s="179" t="n"/>
      <c r="P121" s="179" t="n"/>
      <c r="Q121" s="179" t="n"/>
      <c r="R121" s="179" t="n"/>
      <c r="S121" s="179" t="n"/>
      <c r="T121" s="179" t="n"/>
      <c r="U121" s="179" t="n"/>
      <c r="V121" s="179" t="n"/>
      <c r="W121" s="179" t="n"/>
      <c r="X121" s="179" t="n"/>
      <c r="Y121" s="179" t="n"/>
      <c r="Z121" s="179" t="n"/>
      <c r="AA121" s="179" t="n"/>
      <c r="AB121" s="179" t="n"/>
      <c r="AC121" s="179" t="n"/>
      <c r="AD121" s="179" t="n"/>
      <c r="AE121" s="179" t="n"/>
      <c r="AF121" s="179" t="n"/>
      <c r="AG121" s="179" t="n"/>
      <c r="AH121" s="179" t="n"/>
      <c r="AI121" s="179" t="n"/>
      <c r="AJ121" s="179" t="n"/>
      <c r="AK121" s="179" t="n"/>
      <c r="AL121" s="179" t="n"/>
      <c r="AM121" s="179" t="n"/>
      <c r="AN121" s="179" t="n"/>
      <c r="AO121" s="179" t="n"/>
      <c r="AP121" s="179" t="n"/>
      <c r="AQ121" s="179" t="n"/>
      <c r="AR121" s="179" t="n"/>
      <c r="AS121" s="179" t="n"/>
      <c r="AT121" s="179" t="n"/>
      <c r="AU121" s="179" t="n"/>
      <c r="AV121" s="179" t="n"/>
      <c r="AW121" s="179" t="n"/>
      <c r="AX121" s="179" t="n"/>
      <c r="AY121" s="179" t="n"/>
      <c r="AZ121" s="179" t="n"/>
      <c r="BA121" s="179" t="n"/>
      <c r="BB121" s="179" t="n"/>
      <c r="BC121" s="179" t="n"/>
      <c r="BD121" s="179" t="n"/>
      <c r="BE121" s="179" t="n"/>
      <c r="BF121" s="179" t="n"/>
      <c r="BG121" s="179" t="n"/>
      <c r="BH121" s="179" t="n"/>
      <c r="BI121" s="179" t="n"/>
      <c r="BJ121" s="179" t="n"/>
      <c r="BK121" s="179" t="n"/>
      <c r="BL121" s="179" t="n"/>
      <c r="BM121" s="179" t="n"/>
      <c r="BN121" s="179" t="n"/>
      <c r="BO121" s="179" t="n"/>
      <c r="BP121" s="179" t="n"/>
      <c r="BQ121" s="179" t="n"/>
      <c r="BR121" s="179" t="n"/>
      <c r="BS121" s="179" t="n"/>
      <c r="BT121" s="179" t="n"/>
      <c r="BU121" s="179" t="n"/>
      <c r="BV121" s="179" t="n"/>
      <c r="BW121" s="179" t="n"/>
      <c r="BX121" s="179" t="n"/>
      <c r="BY121" s="179" t="n"/>
      <c r="BZ121" s="179" t="n"/>
      <c r="CA121" s="179" t="n"/>
      <c r="CB121" s="179" t="n"/>
      <c r="CC121" s="179" t="n"/>
      <c r="CD121" s="179" t="n"/>
      <c r="CE121" s="179" t="n"/>
      <c r="CF121" s="179" t="n"/>
      <c r="CG121" s="179" t="n"/>
      <c r="CH121" s="179" t="n"/>
      <c r="CI121" s="179" t="n"/>
      <c r="CJ121" s="179" t="n"/>
      <c r="CK121" s="179" t="n"/>
      <c r="CL121" s="179" t="n"/>
      <c r="CM121" s="179" t="n"/>
      <c r="CN121" s="179" t="n"/>
      <c r="CO121" s="179" t="n"/>
      <c r="CP121" s="179" t="n"/>
      <c r="CQ121" s="179" t="n"/>
      <c r="CR121" s="179" t="n"/>
      <c r="CS121" s="179" t="n"/>
      <c r="CT121" s="179" t="n"/>
      <c r="CU121" s="179" t="n"/>
      <c r="CV121" s="179" t="n"/>
      <c r="CW121" s="179" t="n"/>
      <c r="CX121" s="179" t="n"/>
      <c r="CY121" s="179" t="n"/>
      <c r="CZ121" s="179" t="n"/>
      <c r="DA121" s="179" t="n"/>
      <c r="DB121" s="179" t="n"/>
      <c r="DC121" s="179" t="n"/>
      <c r="DD121" s="179" t="n"/>
      <c r="DE121" s="179" t="n"/>
      <c r="DF121" s="179" t="n"/>
      <c r="DG121" s="179" t="n"/>
      <c r="DH121" s="179" t="n"/>
      <c r="DI121" s="179" t="n"/>
      <c r="DJ121" s="179" t="n"/>
      <c r="DK121" s="179" t="n"/>
      <c r="DL121" s="179" t="n"/>
      <c r="DM121" s="179" t="n"/>
      <c r="DN121" s="179" t="n"/>
      <c r="DO121" s="179" t="n"/>
      <c r="DP121" s="179" t="n"/>
      <c r="DQ121" s="179" t="n"/>
      <c r="DR121" s="179" t="n"/>
      <c r="DS121" s="179" t="n"/>
      <c r="DT121" s="179" t="n"/>
      <c r="DU121" s="179" t="n"/>
      <c r="DV121" s="179" t="n"/>
      <c r="DW121" s="179" t="n"/>
      <c r="DX121" s="179" t="n"/>
      <c r="DY121" s="179" t="n"/>
      <c r="DZ121" s="179" t="n"/>
      <c r="EA121" s="179" t="n"/>
      <c r="EB121" s="179" t="n"/>
      <c r="EC121" s="179" t="n"/>
      <c r="ED121" s="179" t="n"/>
      <c r="EE121" s="179" t="n"/>
      <c r="EF121" s="179" t="n"/>
      <c r="EG121" s="179" t="n"/>
      <c r="EH121" s="179" t="n"/>
      <c r="EI121" s="179" t="n"/>
      <c r="EJ121" s="179" t="n"/>
      <c r="EK121" s="179" t="n"/>
      <c r="EL121" s="179" t="n"/>
      <c r="EM121" s="179" t="n"/>
      <c r="EN121" s="179" t="n"/>
      <c r="EO121" s="179" t="n"/>
      <c r="EP121" s="179" t="n"/>
      <c r="EQ121" s="179" t="n"/>
      <c r="ER121" s="179" t="n"/>
      <c r="ES121" s="179" t="n"/>
      <c r="ET121" s="179" t="n"/>
      <c r="EU121" s="179" t="n"/>
      <c r="EV121" s="179" t="n"/>
      <c r="EW121" s="179" t="n"/>
      <c r="EX121" s="179" t="n"/>
      <c r="EY121" s="179" t="n"/>
      <c r="EZ121" s="179" t="n"/>
      <c r="FA121" s="179" t="n"/>
      <c r="FB121" s="179" t="n"/>
      <c r="FC121" s="179" t="n"/>
      <c r="FD121" s="179" t="n"/>
      <c r="FE121" s="179" t="n"/>
      <c r="FF121" s="179" t="n"/>
      <c r="FG121" s="179" t="n"/>
      <c r="FH121" s="179" t="n"/>
      <c r="FI121" s="179" t="n"/>
      <c r="FJ121" s="179" t="n"/>
      <c r="FK121" s="179" t="n"/>
      <c r="FL121" s="179" t="n"/>
      <c r="FM121" s="179" t="n"/>
      <c r="FN121" s="179" t="n"/>
      <c r="FO121" s="179" t="n"/>
      <c r="FP121" s="179" t="n"/>
      <c r="FQ121" s="179" t="n"/>
      <c r="FR121" s="179" t="n"/>
      <c r="FS121" s="179" t="n"/>
      <c r="FT121" s="179" t="n"/>
      <c r="FU121" s="179" t="n"/>
      <c r="FV121" s="179" t="n"/>
      <c r="FW121" s="179" t="n"/>
      <c r="FX121" s="179" t="n"/>
      <c r="FY121" s="179" t="n"/>
      <c r="FZ121" s="179" t="n"/>
      <c r="GA121" s="179" t="n"/>
      <c r="GB121" s="179" t="n"/>
      <c r="GC121" s="179" t="n"/>
      <c r="GD121" s="179" t="n"/>
      <c r="GE121" s="179" t="n"/>
      <c r="GF121" s="179" t="n"/>
      <c r="GG121" s="179" t="n"/>
      <c r="GH121" s="179" t="n"/>
      <c r="GI121" s="179" t="n"/>
      <c r="GJ121" s="179" t="n"/>
      <c r="GK121" s="179" t="n"/>
      <c r="GL121" s="179" t="n"/>
      <c r="GM121" s="179" t="n"/>
      <c r="GN121" s="179" t="n"/>
      <c r="GO121" s="179" t="n"/>
      <c r="GP121" s="179" t="n"/>
      <c r="GQ121" s="179" t="n"/>
      <c r="GR121" s="179" t="n"/>
      <c r="GS121" s="179" t="n"/>
      <c r="GT121" s="179" t="n"/>
      <c r="GU121" s="179" t="n"/>
      <c r="GV121" s="179" t="n"/>
      <c r="GW121" s="179" t="n"/>
      <c r="GX121" s="179" t="n"/>
      <c r="GY121" s="179" t="n"/>
      <c r="GZ121" s="179" t="n"/>
      <c r="HA121" s="179" t="n"/>
      <c r="HB121" s="179" t="n"/>
      <c r="HC121" s="179" t="n"/>
      <c r="HD121" s="179" t="n"/>
      <c r="HE121" s="179" t="n"/>
      <c r="HF121" s="179" t="n"/>
      <c r="HG121" s="179" t="n"/>
      <c r="HH121" s="179" t="n"/>
      <c r="HI121" s="179" t="n"/>
      <c r="HJ121" s="179" t="n"/>
      <c r="HK121" s="179" t="n"/>
      <c r="HL121" s="179" t="n"/>
      <c r="HM121" s="179" t="n"/>
      <c r="HN121" s="179" t="n"/>
      <c r="HO121" s="179" t="n"/>
      <c r="HP121" s="179" t="n"/>
      <c r="HQ121" s="179" t="n"/>
      <c r="HR121" s="179" t="n"/>
      <c r="HS121" s="179" t="n"/>
      <c r="HT121" s="179" t="n"/>
      <c r="HU121" s="179" t="n"/>
      <c r="HV121" s="179" t="n"/>
      <c r="HW121" s="179" t="n"/>
      <c r="HX121" s="179" t="n"/>
      <c r="HY121" s="179" t="n"/>
      <c r="HZ121" s="179" t="n"/>
      <c r="IA121" s="179" t="n"/>
      <c r="IB121" s="179" t="n"/>
      <c r="IC121" s="179" t="n"/>
      <c r="ID121" s="179" t="n"/>
      <c r="IE121" s="179" t="n"/>
      <c r="IF121" s="179" t="n"/>
      <c r="IG121" s="179" t="n"/>
      <c r="IH121" s="179" t="n"/>
      <c r="II121" s="179" t="n"/>
      <c r="IJ121" s="179" t="n"/>
      <c r="IK121" s="179" t="n"/>
      <c r="IL121" s="179" t="n"/>
      <c r="IM121" s="179" t="n"/>
      <c r="IN121" s="179" t="n"/>
      <c r="IO121" s="179" t="n"/>
      <c r="IP121" s="179" t="n"/>
      <c r="IQ121" s="179" t="n"/>
      <c r="IR121" s="179" t="n"/>
      <c r="IS121" s="179" t="n"/>
      <c r="IT121" s="179" t="n"/>
      <c r="IU121" s="179" t="n"/>
      <c r="IV121" s="179" t="n"/>
    </row>
    <row r="122" ht="21" customFormat="1" customHeight="1" s="525">
      <c r="A122" s="206" t="n"/>
      <c r="B122" s="545" t="inlineStr">
        <is>
          <t>Name of Income</t>
        </is>
      </c>
      <c r="C122" s="545" t="inlineStr">
        <is>
          <t>Business (Ksh)</t>
        </is>
      </c>
      <c r="D122" s="545" t="inlineStr">
        <is>
          <t>Farming (Ksh)</t>
        </is>
      </c>
      <c r="E122" s="545" t="inlineStr">
        <is>
          <t>Rental (Ksh)</t>
        </is>
      </c>
      <c r="F122" s="545" t="inlineStr">
        <is>
          <t>Interest (Ksh)</t>
        </is>
      </c>
      <c r="G122" s="545" t="inlineStr">
        <is>
          <t>Commission (Ksh)</t>
        </is>
      </c>
      <c r="H122" s="545" t="inlineStr">
        <is>
          <t>Other (Ksh)</t>
        </is>
      </c>
      <c r="I122" s="179" t="n"/>
      <c r="J122" s="182" t="n"/>
      <c r="K122" s="179" t="n"/>
      <c r="L122" s="179" t="n"/>
      <c r="M122" s="179" t="n"/>
      <c r="N122" s="179" t="n"/>
      <c r="O122" s="179" t="n"/>
      <c r="P122" s="179" t="n"/>
      <c r="Q122" s="179" t="n"/>
      <c r="R122" s="179" t="n"/>
      <c r="S122" s="179" t="n"/>
      <c r="T122" s="179" t="n"/>
      <c r="U122" s="179" t="n"/>
      <c r="V122" s="179" t="n"/>
      <c r="W122" s="179" t="n"/>
      <c r="X122" s="179" t="n"/>
      <c r="Y122" s="179" t="n"/>
      <c r="Z122" s="179" t="n"/>
      <c r="AA122" s="179" t="n"/>
      <c r="AB122" s="179" t="n"/>
      <c r="AC122" s="179" t="n"/>
      <c r="AD122" s="179" t="n"/>
      <c r="AE122" s="179" t="n"/>
      <c r="AF122" s="179" t="n"/>
      <c r="AG122" s="179" t="n"/>
      <c r="AH122" s="179" t="n"/>
      <c r="AI122" s="179" t="n"/>
      <c r="AJ122" s="179" t="n"/>
      <c r="AK122" s="179" t="n"/>
      <c r="AL122" s="179" t="n"/>
      <c r="AM122" s="179" t="n"/>
      <c r="AN122" s="179" t="n"/>
      <c r="AO122" s="179" t="n"/>
      <c r="AP122" s="179" t="n"/>
      <c r="AQ122" s="179" t="n"/>
      <c r="AR122" s="179" t="n"/>
      <c r="AS122" s="179" t="n"/>
      <c r="AT122" s="179" t="n"/>
      <c r="AU122" s="179" t="n"/>
      <c r="AV122" s="179" t="n"/>
      <c r="AW122" s="179" t="n"/>
      <c r="AX122" s="179" t="n"/>
      <c r="AY122" s="179" t="n"/>
      <c r="AZ122" s="179" t="n"/>
      <c r="BA122" s="179" t="n"/>
      <c r="BB122" s="179" t="n"/>
      <c r="BC122" s="179" t="n"/>
      <c r="BD122" s="179" t="n"/>
      <c r="BE122" s="179" t="n"/>
      <c r="BF122" s="179" t="n"/>
      <c r="BG122" s="179" t="n"/>
      <c r="BH122" s="179" t="n"/>
      <c r="BI122" s="179" t="n"/>
      <c r="BJ122" s="179" t="n"/>
      <c r="BK122" s="179" t="n"/>
      <c r="BL122" s="179" t="n"/>
      <c r="BM122" s="179" t="n"/>
      <c r="BN122" s="179" t="n"/>
      <c r="BO122" s="179" t="n"/>
      <c r="BP122" s="179" t="n"/>
      <c r="BQ122" s="179" t="n"/>
      <c r="BR122" s="179" t="n"/>
      <c r="BS122" s="179" t="n"/>
      <c r="BT122" s="179" t="n"/>
      <c r="BU122" s="179" t="n"/>
      <c r="BV122" s="179" t="n"/>
      <c r="BW122" s="179" t="n"/>
      <c r="BX122" s="179" t="n"/>
      <c r="BY122" s="179" t="n"/>
      <c r="BZ122" s="179" t="n"/>
      <c r="CA122" s="179" t="n"/>
      <c r="CB122" s="179" t="n"/>
      <c r="CC122" s="179" t="n"/>
      <c r="CD122" s="179" t="n"/>
      <c r="CE122" s="179" t="n"/>
      <c r="CF122" s="179" t="n"/>
      <c r="CG122" s="179" t="n"/>
      <c r="CH122" s="179" t="n"/>
      <c r="CI122" s="179" t="n"/>
      <c r="CJ122" s="179" t="n"/>
      <c r="CK122" s="179" t="n"/>
      <c r="CL122" s="179" t="n"/>
      <c r="CM122" s="179" t="n"/>
      <c r="CN122" s="179" t="n"/>
      <c r="CO122" s="179" t="n"/>
      <c r="CP122" s="179" t="n"/>
      <c r="CQ122" s="179" t="n"/>
      <c r="CR122" s="179" t="n"/>
      <c r="CS122" s="179" t="n"/>
      <c r="CT122" s="179" t="n"/>
      <c r="CU122" s="179" t="n"/>
      <c r="CV122" s="179" t="n"/>
      <c r="CW122" s="179" t="n"/>
      <c r="CX122" s="179" t="n"/>
      <c r="CY122" s="179" t="n"/>
      <c r="CZ122" s="179" t="n"/>
      <c r="DA122" s="179" t="n"/>
      <c r="DB122" s="179" t="n"/>
      <c r="DC122" s="179" t="n"/>
      <c r="DD122" s="179" t="n"/>
      <c r="DE122" s="179" t="n"/>
      <c r="DF122" s="179" t="n"/>
      <c r="DG122" s="179" t="n"/>
      <c r="DH122" s="179" t="n"/>
      <c r="DI122" s="179" t="n"/>
      <c r="DJ122" s="179" t="n"/>
      <c r="DK122" s="179" t="n"/>
      <c r="DL122" s="179" t="n"/>
      <c r="DM122" s="179" t="n"/>
      <c r="DN122" s="179" t="n"/>
      <c r="DO122" s="179" t="n"/>
      <c r="DP122" s="179" t="n"/>
      <c r="DQ122" s="179" t="n"/>
      <c r="DR122" s="179" t="n"/>
      <c r="DS122" s="179" t="n"/>
      <c r="DT122" s="179" t="n"/>
      <c r="DU122" s="179" t="n"/>
      <c r="DV122" s="179" t="n"/>
      <c r="DW122" s="179" t="n"/>
      <c r="DX122" s="179" t="n"/>
      <c r="DY122" s="179" t="n"/>
      <c r="DZ122" s="179" t="n"/>
      <c r="EA122" s="179" t="n"/>
      <c r="EB122" s="179" t="n"/>
      <c r="EC122" s="179" t="n"/>
      <c r="ED122" s="179" t="n"/>
      <c r="EE122" s="179" t="n"/>
      <c r="EF122" s="179" t="n"/>
      <c r="EG122" s="179" t="n"/>
      <c r="EH122" s="179" t="n"/>
      <c r="EI122" s="179" t="n"/>
      <c r="EJ122" s="179" t="n"/>
      <c r="EK122" s="179" t="n"/>
      <c r="EL122" s="179" t="n"/>
      <c r="EM122" s="179" t="n"/>
      <c r="EN122" s="179" t="n"/>
      <c r="EO122" s="179" t="n"/>
      <c r="EP122" s="179" t="n"/>
      <c r="EQ122" s="179" t="n"/>
      <c r="ER122" s="179" t="n"/>
      <c r="ES122" s="179" t="n"/>
      <c r="ET122" s="179" t="n"/>
      <c r="EU122" s="179" t="n"/>
      <c r="EV122" s="179" t="n"/>
      <c r="EW122" s="179" t="n"/>
      <c r="EX122" s="179" t="n"/>
      <c r="EY122" s="179" t="n"/>
      <c r="EZ122" s="179" t="n"/>
      <c r="FA122" s="179" t="n"/>
      <c r="FB122" s="179" t="n"/>
      <c r="FC122" s="179" t="n"/>
      <c r="FD122" s="179" t="n"/>
      <c r="FE122" s="179" t="n"/>
      <c r="FF122" s="179" t="n"/>
      <c r="FG122" s="179" t="n"/>
      <c r="FH122" s="179" t="n"/>
      <c r="FI122" s="179" t="n"/>
      <c r="FJ122" s="179" t="n"/>
      <c r="FK122" s="179" t="n"/>
      <c r="FL122" s="179" t="n"/>
      <c r="FM122" s="179" t="n"/>
      <c r="FN122" s="179" t="n"/>
      <c r="FO122" s="179" t="n"/>
      <c r="FP122" s="179" t="n"/>
      <c r="FQ122" s="179" t="n"/>
      <c r="FR122" s="179" t="n"/>
      <c r="FS122" s="179" t="n"/>
      <c r="FT122" s="179" t="n"/>
      <c r="FU122" s="179" t="n"/>
      <c r="FV122" s="179" t="n"/>
      <c r="FW122" s="179" t="n"/>
      <c r="FX122" s="179" t="n"/>
      <c r="FY122" s="179" t="n"/>
      <c r="FZ122" s="179" t="n"/>
      <c r="GA122" s="179" t="n"/>
      <c r="GB122" s="179" t="n"/>
      <c r="GC122" s="179" t="n"/>
      <c r="GD122" s="179" t="n"/>
      <c r="GE122" s="179" t="n"/>
      <c r="GF122" s="179" t="n"/>
      <c r="GG122" s="179" t="n"/>
      <c r="GH122" s="179" t="n"/>
      <c r="GI122" s="179" t="n"/>
      <c r="GJ122" s="179" t="n"/>
      <c r="GK122" s="179" t="n"/>
      <c r="GL122" s="179" t="n"/>
      <c r="GM122" s="179" t="n"/>
      <c r="GN122" s="179" t="n"/>
      <c r="GO122" s="179" t="n"/>
      <c r="GP122" s="179" t="n"/>
      <c r="GQ122" s="179" t="n"/>
      <c r="GR122" s="179" t="n"/>
      <c r="GS122" s="179" t="n"/>
      <c r="GT122" s="179" t="n"/>
      <c r="GU122" s="179" t="n"/>
      <c r="GV122" s="179" t="n"/>
      <c r="GW122" s="179" t="n"/>
      <c r="GX122" s="179" t="n"/>
      <c r="GY122" s="179" t="n"/>
      <c r="GZ122" s="179" t="n"/>
      <c r="HA122" s="179" t="n"/>
      <c r="HB122" s="179" t="n"/>
      <c r="HC122" s="179" t="n"/>
      <c r="HD122" s="179" t="n"/>
      <c r="HE122" s="179" t="n"/>
      <c r="HF122" s="179" t="n"/>
      <c r="HG122" s="179" t="n"/>
      <c r="HH122" s="179" t="n"/>
      <c r="HI122" s="179" t="n"/>
      <c r="HJ122" s="179" t="n"/>
      <c r="HK122" s="179" t="n"/>
      <c r="HL122" s="179" t="n"/>
      <c r="HM122" s="179" t="n"/>
      <c r="HN122" s="179" t="n"/>
      <c r="HO122" s="179" t="n"/>
      <c r="HP122" s="179" t="n"/>
      <c r="HQ122" s="179" t="n"/>
      <c r="HR122" s="179" t="n"/>
      <c r="HS122" s="179" t="n"/>
      <c r="HT122" s="179" t="n"/>
      <c r="HU122" s="179" t="n"/>
      <c r="HV122" s="179" t="n"/>
      <c r="HW122" s="179" t="n"/>
      <c r="HX122" s="179" t="n"/>
      <c r="HY122" s="179" t="n"/>
      <c r="HZ122" s="179" t="n"/>
      <c r="IA122" s="179" t="n"/>
      <c r="IB122" s="179" t="n"/>
      <c r="IC122" s="179" t="n"/>
      <c r="ID122" s="179" t="n"/>
      <c r="IE122" s="179" t="n"/>
      <c r="IF122" s="179" t="n"/>
      <c r="IG122" s="179" t="n"/>
      <c r="IH122" s="179" t="n"/>
      <c r="II122" s="179" t="n"/>
      <c r="IJ122" s="179" t="n"/>
      <c r="IK122" s="179" t="n"/>
      <c r="IL122" s="179" t="n"/>
      <c r="IM122" s="179" t="n"/>
      <c r="IN122" s="179" t="n"/>
      <c r="IO122" s="179" t="n"/>
      <c r="IP122" s="179" t="n"/>
      <c r="IQ122" s="179" t="n"/>
      <c r="IR122" s="179" t="n"/>
      <c r="IS122" s="179" t="n"/>
      <c r="IT122" s="179" t="n"/>
      <c r="IU122" s="179" t="n"/>
      <c r="IV122" s="179" t="n"/>
    </row>
    <row r="123" ht="16.5" customFormat="1" customHeight="1" s="525">
      <c r="A123" s="206" t="n"/>
      <c r="B123" s="286" t="n"/>
      <c r="C123" s="44" t="n"/>
      <c r="D123" s="44" t="n"/>
      <c r="E123" s="44" t="n"/>
      <c r="F123" s="44" t="n"/>
      <c r="G123" s="44" t="n"/>
      <c r="H123" s="44" t="n"/>
      <c r="I123" s="161">
        <f>IF(COUNTBLANK(B123:H123)=7,"","PLAOIW")</f>
        <v/>
      </c>
      <c r="J123" s="182" t="n"/>
      <c r="K123" s="179" t="n"/>
      <c r="L123" s="179" t="n"/>
      <c r="M123" s="179" t="n"/>
      <c r="N123" s="179" t="n"/>
      <c r="O123" s="179" t="n"/>
      <c r="P123" s="179" t="n"/>
      <c r="Q123" s="179" t="n"/>
      <c r="R123" s="179" t="n"/>
      <c r="S123" s="179" t="n"/>
      <c r="T123" s="179" t="n"/>
      <c r="U123" s="179" t="n"/>
      <c r="V123" s="179" t="n"/>
      <c r="W123" s="179" t="n"/>
      <c r="X123" s="179" t="n"/>
      <c r="Y123" s="179" t="n"/>
      <c r="Z123" s="179" t="n"/>
      <c r="AA123" s="179" t="n"/>
      <c r="AB123" s="179" t="n"/>
      <c r="AC123" s="179" t="n"/>
      <c r="AD123" s="179" t="n"/>
      <c r="AE123" s="179" t="n"/>
      <c r="AF123" s="179" t="n"/>
      <c r="AG123" s="179" t="n"/>
      <c r="AH123" s="179" t="n"/>
      <c r="AI123" s="179" t="n"/>
      <c r="AJ123" s="179" t="n"/>
      <c r="AK123" s="179" t="n"/>
      <c r="AL123" s="179" t="n"/>
      <c r="AM123" s="179" t="n"/>
      <c r="AN123" s="179" t="n"/>
      <c r="AO123" s="179" t="n"/>
      <c r="AP123" s="179" t="n"/>
      <c r="AQ123" s="179" t="n"/>
      <c r="AR123" s="179" t="n"/>
      <c r="AS123" s="179" t="n"/>
      <c r="AT123" s="179" t="n"/>
      <c r="AU123" s="179" t="n"/>
      <c r="AV123" s="179" t="n"/>
      <c r="AW123" s="179" t="n"/>
      <c r="AX123" s="179" t="n"/>
      <c r="AY123" s="179" t="n"/>
      <c r="AZ123" s="179" t="n"/>
      <c r="BA123" s="179" t="n"/>
      <c r="BB123" s="179" t="n"/>
      <c r="BC123" s="179" t="n"/>
      <c r="BD123" s="179" t="n"/>
      <c r="BE123" s="179" t="n"/>
      <c r="BF123" s="179" t="n"/>
      <c r="BG123" s="179" t="n"/>
      <c r="BH123" s="179" t="n"/>
      <c r="BI123" s="179" t="n"/>
      <c r="BJ123" s="179" t="n"/>
      <c r="BK123" s="179" t="n"/>
      <c r="BL123" s="179" t="n"/>
      <c r="BM123" s="179" t="n"/>
      <c r="BN123" s="179" t="n"/>
      <c r="BO123" s="179" t="n"/>
      <c r="BP123" s="179" t="n"/>
      <c r="BQ123" s="179" t="n"/>
      <c r="BR123" s="179" t="n"/>
      <c r="BS123" s="179" t="n"/>
      <c r="BT123" s="179" t="n"/>
      <c r="BU123" s="179" t="n"/>
      <c r="BV123" s="179" t="n"/>
      <c r="BW123" s="179" t="n"/>
      <c r="BX123" s="179" t="n"/>
      <c r="BY123" s="179" t="n"/>
      <c r="BZ123" s="179" t="n"/>
      <c r="CA123" s="179" t="n"/>
      <c r="CB123" s="179" t="n"/>
      <c r="CC123" s="179" t="n"/>
      <c r="CD123" s="179" t="n"/>
      <c r="CE123" s="179" t="n"/>
      <c r="CF123" s="179" t="n"/>
      <c r="CG123" s="179" t="n"/>
      <c r="CH123" s="179" t="n"/>
      <c r="CI123" s="179" t="n"/>
      <c r="CJ123" s="179" t="n"/>
      <c r="CK123" s="179" t="n"/>
      <c r="CL123" s="179" t="n"/>
      <c r="CM123" s="179" t="n"/>
      <c r="CN123" s="179" t="n"/>
      <c r="CO123" s="179" t="n"/>
      <c r="CP123" s="179" t="n"/>
      <c r="CQ123" s="179" t="n"/>
      <c r="CR123" s="179" t="n"/>
      <c r="CS123" s="179" t="n"/>
      <c r="CT123" s="179" t="n"/>
      <c r="CU123" s="179" t="n"/>
      <c r="CV123" s="179" t="n"/>
      <c r="CW123" s="179" t="n"/>
      <c r="CX123" s="179" t="n"/>
      <c r="CY123" s="179" t="n"/>
      <c r="CZ123" s="179" t="n"/>
      <c r="DA123" s="179" t="n"/>
      <c r="DB123" s="179" t="n"/>
      <c r="DC123" s="179" t="n"/>
      <c r="DD123" s="179" t="n"/>
      <c r="DE123" s="179" t="n"/>
      <c r="DF123" s="179" t="n"/>
      <c r="DG123" s="179" t="n"/>
      <c r="DH123" s="179" t="n"/>
      <c r="DI123" s="179" t="n"/>
      <c r="DJ123" s="179" t="n"/>
      <c r="DK123" s="179" t="n"/>
      <c r="DL123" s="179" t="n"/>
      <c r="DM123" s="179" t="n"/>
      <c r="DN123" s="179" t="n"/>
      <c r="DO123" s="179" t="n"/>
      <c r="DP123" s="179" t="n"/>
      <c r="DQ123" s="179" t="n"/>
      <c r="DR123" s="179" t="n"/>
      <c r="DS123" s="179" t="n"/>
      <c r="DT123" s="179" t="n"/>
      <c r="DU123" s="179" t="n"/>
      <c r="DV123" s="179" t="n"/>
      <c r="DW123" s="179" t="n"/>
      <c r="DX123" s="179" t="n"/>
      <c r="DY123" s="179" t="n"/>
      <c r="DZ123" s="179" t="n"/>
      <c r="EA123" s="179" t="n"/>
      <c r="EB123" s="179" t="n"/>
      <c r="EC123" s="179" t="n"/>
      <c r="ED123" s="179" t="n"/>
      <c r="EE123" s="179" t="n"/>
      <c r="EF123" s="179" t="n"/>
      <c r="EG123" s="179" t="n"/>
      <c r="EH123" s="179" t="n"/>
      <c r="EI123" s="179" t="n"/>
      <c r="EJ123" s="179" t="n"/>
      <c r="EK123" s="179" t="n"/>
      <c r="EL123" s="179" t="n"/>
      <c r="EM123" s="179" t="n"/>
      <c r="EN123" s="179" t="n"/>
      <c r="EO123" s="179" t="n"/>
      <c r="EP123" s="179" t="n"/>
      <c r="EQ123" s="179" t="n"/>
      <c r="ER123" s="179" t="n"/>
      <c r="ES123" s="179" t="n"/>
      <c r="ET123" s="179" t="n"/>
      <c r="EU123" s="179" t="n"/>
      <c r="EV123" s="179" t="n"/>
      <c r="EW123" s="179" t="n"/>
      <c r="EX123" s="179" t="n"/>
      <c r="EY123" s="179" t="n"/>
      <c r="EZ123" s="179" t="n"/>
      <c r="FA123" s="179" t="n"/>
      <c r="FB123" s="179" t="n"/>
      <c r="FC123" s="179" t="n"/>
      <c r="FD123" s="179" t="n"/>
      <c r="FE123" s="179" t="n"/>
      <c r="FF123" s="179" t="n"/>
      <c r="FG123" s="179" t="n"/>
      <c r="FH123" s="179" t="n"/>
      <c r="FI123" s="179" t="n"/>
      <c r="FJ123" s="179" t="n"/>
      <c r="FK123" s="179" t="n"/>
      <c r="FL123" s="179" t="n"/>
      <c r="FM123" s="179" t="n"/>
      <c r="FN123" s="179" t="n"/>
      <c r="FO123" s="179" t="n"/>
      <c r="FP123" s="179" t="n"/>
      <c r="FQ123" s="179" t="n"/>
      <c r="FR123" s="179" t="n"/>
      <c r="FS123" s="179" t="n"/>
      <c r="FT123" s="179" t="n"/>
      <c r="FU123" s="179" t="n"/>
      <c r="FV123" s="179" t="n"/>
      <c r="FW123" s="179" t="n"/>
      <c r="FX123" s="179" t="n"/>
      <c r="FY123" s="179" t="n"/>
      <c r="FZ123" s="179" t="n"/>
      <c r="GA123" s="179" t="n"/>
      <c r="GB123" s="179" t="n"/>
      <c r="GC123" s="179" t="n"/>
      <c r="GD123" s="179" t="n"/>
      <c r="GE123" s="179" t="n"/>
      <c r="GF123" s="179" t="n"/>
      <c r="GG123" s="179" t="n"/>
      <c r="GH123" s="179" t="n"/>
      <c r="GI123" s="179" t="n"/>
      <c r="GJ123" s="179" t="n"/>
      <c r="GK123" s="179" t="n"/>
      <c r="GL123" s="179" t="n"/>
      <c r="GM123" s="179" t="n"/>
      <c r="GN123" s="179" t="n"/>
      <c r="GO123" s="179" t="n"/>
      <c r="GP123" s="179" t="n"/>
      <c r="GQ123" s="179" t="n"/>
      <c r="GR123" s="179" t="n"/>
      <c r="GS123" s="179" t="n"/>
      <c r="GT123" s="179" t="n"/>
      <c r="GU123" s="179" t="n"/>
      <c r="GV123" s="179" t="n"/>
      <c r="GW123" s="179" t="n"/>
      <c r="GX123" s="179" t="n"/>
      <c r="GY123" s="179" t="n"/>
      <c r="GZ123" s="179" t="n"/>
      <c r="HA123" s="179" t="n"/>
      <c r="HB123" s="179" t="n"/>
      <c r="HC123" s="179" t="n"/>
      <c r="HD123" s="179" t="n"/>
      <c r="HE123" s="179" t="n"/>
      <c r="HF123" s="179" t="n"/>
      <c r="HG123" s="179" t="n"/>
      <c r="HH123" s="179" t="n"/>
      <c r="HI123" s="179" t="n"/>
      <c r="HJ123" s="179" t="n"/>
      <c r="HK123" s="179" t="n"/>
      <c r="HL123" s="179" t="n"/>
      <c r="HM123" s="179" t="n"/>
      <c r="HN123" s="179" t="n"/>
      <c r="HO123" s="179" t="n"/>
      <c r="HP123" s="179" t="n"/>
      <c r="HQ123" s="179" t="n"/>
      <c r="HR123" s="179" t="n"/>
      <c r="HS123" s="179" t="n"/>
      <c r="HT123" s="179" t="n"/>
      <c r="HU123" s="179" t="n"/>
      <c r="HV123" s="179" t="n"/>
      <c r="HW123" s="179" t="n"/>
      <c r="HX123" s="179" t="n"/>
      <c r="HY123" s="179" t="n"/>
      <c r="HZ123" s="179" t="n"/>
      <c r="IA123" s="179" t="n"/>
      <c r="IB123" s="179" t="n"/>
      <c r="IC123" s="179" t="n"/>
      <c r="ID123" s="179" t="n"/>
      <c r="IE123" s="179" t="n"/>
      <c r="IF123" s="179" t="n"/>
      <c r="IG123" s="179" t="n"/>
      <c r="IH123" s="179" t="n"/>
      <c r="II123" s="179" t="n"/>
      <c r="IJ123" s="179" t="n"/>
      <c r="IK123" s="179" t="n"/>
      <c r="IL123" s="179" t="n"/>
      <c r="IM123" s="179" t="n"/>
      <c r="IN123" s="179" t="n"/>
      <c r="IO123" s="179" t="n"/>
      <c r="IP123" s="179" t="n"/>
      <c r="IQ123" s="179" t="n"/>
      <c r="IR123" s="179" t="n"/>
      <c r="IS123" s="179" t="n"/>
      <c r="IT123" s="179" t="n"/>
      <c r="IU123" s="179" t="n"/>
      <c r="IV123" s="179" t="n"/>
    </row>
    <row r="124" ht="16.5" customFormat="1" customHeight="1" s="525">
      <c r="A124" s="206" t="n"/>
      <c r="B124" s="286" t="n"/>
      <c r="C124" s="44" t="n"/>
      <c r="D124" s="44" t="n"/>
      <c r="E124" s="44" t="n"/>
      <c r="F124" s="44" t="n"/>
      <c r="G124" s="44" t="n"/>
      <c r="H124" s="44" t="n"/>
      <c r="I124" s="161">
        <f>IF(COUNTBLANK(B124:H124)=7,"","PLAOIW")</f>
        <v/>
      </c>
      <c r="J124" s="182" t="n"/>
      <c r="K124" s="179" t="n"/>
      <c r="L124" s="179" t="n"/>
      <c r="M124" s="179" t="n"/>
      <c r="N124" s="179" t="n"/>
      <c r="O124" s="179" t="n"/>
      <c r="P124" s="179" t="n"/>
      <c r="Q124" s="179" t="n"/>
      <c r="R124" s="179" t="n"/>
      <c r="S124" s="179" t="n"/>
      <c r="T124" s="179" t="n"/>
      <c r="U124" s="179" t="n"/>
      <c r="V124" s="179" t="n"/>
      <c r="W124" s="179" t="n"/>
      <c r="X124" s="179" t="n"/>
      <c r="Y124" s="179" t="n"/>
      <c r="Z124" s="179" t="n"/>
      <c r="AA124" s="179" t="n"/>
      <c r="AB124" s="179" t="n"/>
      <c r="AC124" s="179" t="n"/>
      <c r="AD124" s="179" t="n"/>
      <c r="AE124" s="179" t="n"/>
      <c r="AF124" s="179" t="n"/>
      <c r="AG124" s="179" t="n"/>
      <c r="AH124" s="179" t="n"/>
      <c r="AI124" s="179" t="n"/>
      <c r="AJ124" s="179" t="n"/>
      <c r="AK124" s="179" t="n"/>
      <c r="AL124" s="179" t="n"/>
      <c r="AM124" s="179" t="n"/>
      <c r="AN124" s="179" t="n"/>
      <c r="AO124" s="179" t="n"/>
      <c r="AP124" s="179" t="n"/>
      <c r="AQ124" s="179" t="n"/>
      <c r="AR124" s="179" t="n"/>
      <c r="AS124" s="179" t="n"/>
      <c r="AT124" s="179" t="n"/>
      <c r="AU124" s="179" t="n"/>
      <c r="AV124" s="179" t="n"/>
      <c r="AW124" s="179" t="n"/>
      <c r="AX124" s="179" t="n"/>
      <c r="AY124" s="179" t="n"/>
      <c r="AZ124" s="179" t="n"/>
      <c r="BA124" s="179" t="n"/>
      <c r="BB124" s="179" t="n"/>
      <c r="BC124" s="179" t="n"/>
      <c r="BD124" s="179" t="n"/>
      <c r="BE124" s="179" t="n"/>
      <c r="BF124" s="179" t="n"/>
      <c r="BG124" s="179" t="n"/>
      <c r="BH124" s="179" t="n"/>
      <c r="BI124" s="179" t="n"/>
      <c r="BJ124" s="179" t="n"/>
      <c r="BK124" s="179" t="n"/>
      <c r="BL124" s="179" t="n"/>
      <c r="BM124" s="179" t="n"/>
      <c r="BN124" s="179" t="n"/>
      <c r="BO124" s="179" t="n"/>
      <c r="BP124" s="179" t="n"/>
      <c r="BQ124" s="179" t="n"/>
      <c r="BR124" s="179" t="n"/>
      <c r="BS124" s="179" t="n"/>
      <c r="BT124" s="179" t="n"/>
      <c r="BU124" s="179" t="n"/>
      <c r="BV124" s="179" t="n"/>
      <c r="BW124" s="179" t="n"/>
      <c r="BX124" s="179" t="n"/>
      <c r="BY124" s="179" t="n"/>
      <c r="BZ124" s="179" t="n"/>
      <c r="CA124" s="179" t="n"/>
      <c r="CB124" s="179" t="n"/>
      <c r="CC124" s="179" t="n"/>
      <c r="CD124" s="179" t="n"/>
      <c r="CE124" s="179" t="n"/>
      <c r="CF124" s="179" t="n"/>
      <c r="CG124" s="179" t="n"/>
      <c r="CH124" s="179" t="n"/>
      <c r="CI124" s="179" t="n"/>
      <c r="CJ124" s="179" t="n"/>
      <c r="CK124" s="179" t="n"/>
      <c r="CL124" s="179" t="n"/>
      <c r="CM124" s="179" t="n"/>
      <c r="CN124" s="179" t="n"/>
      <c r="CO124" s="179" t="n"/>
      <c r="CP124" s="179" t="n"/>
      <c r="CQ124" s="179" t="n"/>
      <c r="CR124" s="179" t="n"/>
      <c r="CS124" s="179" t="n"/>
      <c r="CT124" s="179" t="n"/>
      <c r="CU124" s="179" t="n"/>
      <c r="CV124" s="179" t="n"/>
      <c r="CW124" s="179" t="n"/>
      <c r="CX124" s="179" t="n"/>
      <c r="CY124" s="179" t="n"/>
      <c r="CZ124" s="179" t="n"/>
      <c r="DA124" s="179" t="n"/>
      <c r="DB124" s="179" t="n"/>
      <c r="DC124" s="179" t="n"/>
      <c r="DD124" s="179" t="n"/>
      <c r="DE124" s="179" t="n"/>
      <c r="DF124" s="179" t="n"/>
      <c r="DG124" s="179" t="n"/>
      <c r="DH124" s="179" t="n"/>
      <c r="DI124" s="179" t="n"/>
      <c r="DJ124" s="179" t="n"/>
      <c r="DK124" s="179" t="n"/>
      <c r="DL124" s="179" t="n"/>
      <c r="DM124" s="179" t="n"/>
      <c r="DN124" s="179" t="n"/>
      <c r="DO124" s="179" t="n"/>
      <c r="DP124" s="179" t="n"/>
      <c r="DQ124" s="179" t="n"/>
      <c r="DR124" s="179" t="n"/>
      <c r="DS124" s="179" t="n"/>
      <c r="DT124" s="179" t="n"/>
      <c r="DU124" s="179" t="n"/>
      <c r="DV124" s="179" t="n"/>
      <c r="DW124" s="179" t="n"/>
      <c r="DX124" s="179" t="n"/>
      <c r="DY124" s="179" t="n"/>
      <c r="DZ124" s="179" t="n"/>
      <c r="EA124" s="179" t="n"/>
      <c r="EB124" s="179" t="n"/>
      <c r="EC124" s="179" t="n"/>
      <c r="ED124" s="179" t="n"/>
      <c r="EE124" s="179" t="n"/>
      <c r="EF124" s="179" t="n"/>
      <c r="EG124" s="179" t="n"/>
      <c r="EH124" s="179" t="n"/>
      <c r="EI124" s="179" t="n"/>
      <c r="EJ124" s="179" t="n"/>
      <c r="EK124" s="179" t="n"/>
      <c r="EL124" s="179" t="n"/>
      <c r="EM124" s="179" t="n"/>
      <c r="EN124" s="179" t="n"/>
      <c r="EO124" s="179" t="n"/>
      <c r="EP124" s="179" t="n"/>
      <c r="EQ124" s="179" t="n"/>
      <c r="ER124" s="179" t="n"/>
      <c r="ES124" s="179" t="n"/>
      <c r="ET124" s="179" t="n"/>
      <c r="EU124" s="179" t="n"/>
      <c r="EV124" s="179" t="n"/>
      <c r="EW124" s="179" t="n"/>
      <c r="EX124" s="179" t="n"/>
      <c r="EY124" s="179" t="n"/>
      <c r="EZ124" s="179" t="n"/>
      <c r="FA124" s="179" t="n"/>
      <c r="FB124" s="179" t="n"/>
      <c r="FC124" s="179" t="n"/>
      <c r="FD124" s="179" t="n"/>
      <c r="FE124" s="179" t="n"/>
      <c r="FF124" s="179" t="n"/>
      <c r="FG124" s="179" t="n"/>
      <c r="FH124" s="179" t="n"/>
      <c r="FI124" s="179" t="n"/>
      <c r="FJ124" s="179" t="n"/>
      <c r="FK124" s="179" t="n"/>
      <c r="FL124" s="179" t="n"/>
      <c r="FM124" s="179" t="n"/>
      <c r="FN124" s="179" t="n"/>
      <c r="FO124" s="179" t="n"/>
      <c r="FP124" s="179" t="n"/>
      <c r="FQ124" s="179" t="n"/>
      <c r="FR124" s="179" t="n"/>
      <c r="FS124" s="179" t="n"/>
      <c r="FT124" s="179" t="n"/>
      <c r="FU124" s="179" t="n"/>
      <c r="FV124" s="179" t="n"/>
      <c r="FW124" s="179" t="n"/>
      <c r="FX124" s="179" t="n"/>
      <c r="FY124" s="179" t="n"/>
      <c r="FZ124" s="179" t="n"/>
      <c r="GA124" s="179" t="n"/>
      <c r="GB124" s="179" t="n"/>
      <c r="GC124" s="179" t="n"/>
      <c r="GD124" s="179" t="n"/>
      <c r="GE124" s="179" t="n"/>
      <c r="GF124" s="179" t="n"/>
      <c r="GG124" s="179" t="n"/>
      <c r="GH124" s="179" t="n"/>
      <c r="GI124" s="179" t="n"/>
      <c r="GJ124" s="179" t="n"/>
      <c r="GK124" s="179" t="n"/>
      <c r="GL124" s="179" t="n"/>
      <c r="GM124" s="179" t="n"/>
      <c r="GN124" s="179" t="n"/>
      <c r="GO124" s="179" t="n"/>
      <c r="GP124" s="179" t="n"/>
      <c r="GQ124" s="179" t="n"/>
      <c r="GR124" s="179" t="n"/>
      <c r="GS124" s="179" t="n"/>
      <c r="GT124" s="179" t="n"/>
      <c r="GU124" s="179" t="n"/>
      <c r="GV124" s="179" t="n"/>
      <c r="GW124" s="179" t="n"/>
      <c r="GX124" s="179" t="n"/>
      <c r="GY124" s="179" t="n"/>
      <c r="GZ124" s="179" t="n"/>
      <c r="HA124" s="179" t="n"/>
      <c r="HB124" s="179" t="n"/>
      <c r="HC124" s="179" t="n"/>
      <c r="HD124" s="179" t="n"/>
      <c r="HE124" s="179" t="n"/>
      <c r="HF124" s="179" t="n"/>
      <c r="HG124" s="179" t="n"/>
      <c r="HH124" s="179" t="n"/>
      <c r="HI124" s="179" t="n"/>
      <c r="HJ124" s="179" t="n"/>
      <c r="HK124" s="179" t="n"/>
      <c r="HL124" s="179" t="n"/>
      <c r="HM124" s="179" t="n"/>
      <c r="HN124" s="179" t="n"/>
      <c r="HO124" s="179" t="n"/>
      <c r="HP124" s="179" t="n"/>
      <c r="HQ124" s="179" t="n"/>
      <c r="HR124" s="179" t="n"/>
      <c r="HS124" s="179" t="n"/>
      <c r="HT124" s="179" t="n"/>
      <c r="HU124" s="179" t="n"/>
      <c r="HV124" s="179" t="n"/>
      <c r="HW124" s="179" t="n"/>
      <c r="HX124" s="179" t="n"/>
      <c r="HY124" s="179" t="n"/>
      <c r="HZ124" s="179" t="n"/>
      <c r="IA124" s="179" t="n"/>
      <c r="IB124" s="179" t="n"/>
      <c r="IC124" s="179" t="n"/>
      <c r="ID124" s="179" t="n"/>
      <c r="IE124" s="179" t="n"/>
      <c r="IF124" s="179" t="n"/>
      <c r="IG124" s="179" t="n"/>
      <c r="IH124" s="179" t="n"/>
      <c r="II124" s="179" t="n"/>
      <c r="IJ124" s="179" t="n"/>
      <c r="IK124" s="179" t="n"/>
      <c r="IL124" s="179" t="n"/>
      <c r="IM124" s="179" t="n"/>
      <c r="IN124" s="179" t="n"/>
      <c r="IO124" s="179" t="n"/>
      <c r="IP124" s="179" t="n"/>
      <c r="IQ124" s="179" t="n"/>
      <c r="IR124" s="179" t="n"/>
      <c r="IS124" s="179" t="n"/>
      <c r="IT124" s="179" t="n"/>
      <c r="IU124" s="179" t="n"/>
      <c r="IV124" s="179" t="n"/>
    </row>
    <row r="125" ht="16.5" customFormat="1" customHeight="1" s="525">
      <c r="A125" s="206" t="n"/>
      <c r="B125" s="286" t="n"/>
      <c r="C125" s="44" t="n"/>
      <c r="D125" s="44" t="n"/>
      <c r="E125" s="44" t="n"/>
      <c r="F125" s="44" t="n"/>
      <c r="G125" s="44" t="n"/>
      <c r="H125" s="44" t="n"/>
      <c r="I125" s="161">
        <f>IF(COUNTBLANK(B125:H125)=7,"","PLAOIW")</f>
        <v/>
      </c>
      <c r="J125" s="182" t="n"/>
      <c r="K125" s="179" t="n"/>
      <c r="L125" s="179" t="n"/>
      <c r="M125" s="179" t="n"/>
      <c r="N125" s="179" t="n"/>
      <c r="O125" s="179" t="n"/>
      <c r="P125" s="179" t="n"/>
      <c r="Q125" s="179" t="n"/>
      <c r="R125" s="179" t="n"/>
      <c r="S125" s="179" t="n"/>
      <c r="T125" s="179" t="n"/>
      <c r="U125" s="179" t="n"/>
      <c r="V125" s="179" t="n"/>
      <c r="W125" s="179" t="n"/>
      <c r="X125" s="179" t="n"/>
      <c r="Y125" s="179" t="n"/>
      <c r="Z125" s="179" t="n"/>
      <c r="AA125" s="179" t="n"/>
      <c r="AB125" s="179" t="n"/>
      <c r="AC125" s="179" t="n"/>
      <c r="AD125" s="179" t="n"/>
      <c r="AE125" s="179" t="n"/>
      <c r="AF125" s="179" t="n"/>
      <c r="AG125" s="179" t="n"/>
      <c r="AH125" s="179" t="n"/>
      <c r="AI125" s="179" t="n"/>
      <c r="AJ125" s="179" t="n"/>
      <c r="AK125" s="179" t="n"/>
      <c r="AL125" s="179" t="n"/>
      <c r="AM125" s="179" t="n"/>
      <c r="AN125" s="179" t="n"/>
      <c r="AO125" s="179" t="n"/>
      <c r="AP125" s="179" t="n"/>
      <c r="AQ125" s="179" t="n"/>
      <c r="AR125" s="179" t="n"/>
      <c r="AS125" s="179" t="n"/>
      <c r="AT125" s="179" t="n"/>
      <c r="AU125" s="179" t="n"/>
      <c r="AV125" s="179" t="n"/>
      <c r="AW125" s="179" t="n"/>
      <c r="AX125" s="179" t="n"/>
      <c r="AY125" s="179" t="n"/>
      <c r="AZ125" s="179" t="n"/>
      <c r="BA125" s="179" t="n"/>
      <c r="BB125" s="179" t="n"/>
      <c r="BC125" s="179" t="n"/>
      <c r="BD125" s="179" t="n"/>
      <c r="BE125" s="179" t="n"/>
      <c r="BF125" s="179" t="n"/>
      <c r="BG125" s="179" t="n"/>
      <c r="BH125" s="179" t="n"/>
      <c r="BI125" s="179" t="n"/>
      <c r="BJ125" s="179" t="n"/>
      <c r="BK125" s="179" t="n"/>
      <c r="BL125" s="179" t="n"/>
      <c r="BM125" s="179" t="n"/>
      <c r="BN125" s="179" t="n"/>
      <c r="BO125" s="179" t="n"/>
      <c r="BP125" s="179" t="n"/>
      <c r="BQ125" s="179" t="n"/>
      <c r="BR125" s="179" t="n"/>
      <c r="BS125" s="179" t="n"/>
      <c r="BT125" s="179" t="n"/>
      <c r="BU125" s="179" t="n"/>
      <c r="BV125" s="179" t="n"/>
      <c r="BW125" s="179" t="n"/>
      <c r="BX125" s="179" t="n"/>
      <c r="BY125" s="179" t="n"/>
      <c r="BZ125" s="179" t="n"/>
      <c r="CA125" s="179" t="n"/>
      <c r="CB125" s="179" t="n"/>
      <c r="CC125" s="179" t="n"/>
      <c r="CD125" s="179" t="n"/>
      <c r="CE125" s="179" t="n"/>
      <c r="CF125" s="179" t="n"/>
      <c r="CG125" s="179" t="n"/>
      <c r="CH125" s="179" t="n"/>
      <c r="CI125" s="179" t="n"/>
      <c r="CJ125" s="179" t="n"/>
      <c r="CK125" s="179" t="n"/>
      <c r="CL125" s="179" t="n"/>
      <c r="CM125" s="179" t="n"/>
      <c r="CN125" s="179" t="n"/>
      <c r="CO125" s="179" t="n"/>
      <c r="CP125" s="179" t="n"/>
      <c r="CQ125" s="179" t="n"/>
      <c r="CR125" s="179" t="n"/>
      <c r="CS125" s="179" t="n"/>
      <c r="CT125" s="179" t="n"/>
      <c r="CU125" s="179" t="n"/>
      <c r="CV125" s="179" t="n"/>
      <c r="CW125" s="179" t="n"/>
      <c r="CX125" s="179" t="n"/>
      <c r="CY125" s="179" t="n"/>
      <c r="CZ125" s="179" t="n"/>
      <c r="DA125" s="179" t="n"/>
      <c r="DB125" s="179" t="n"/>
      <c r="DC125" s="179" t="n"/>
      <c r="DD125" s="179" t="n"/>
      <c r="DE125" s="179" t="n"/>
      <c r="DF125" s="179" t="n"/>
      <c r="DG125" s="179" t="n"/>
      <c r="DH125" s="179" t="n"/>
      <c r="DI125" s="179" t="n"/>
      <c r="DJ125" s="179" t="n"/>
      <c r="DK125" s="179" t="n"/>
      <c r="DL125" s="179" t="n"/>
      <c r="DM125" s="179" t="n"/>
      <c r="DN125" s="179" t="n"/>
      <c r="DO125" s="179" t="n"/>
      <c r="DP125" s="179" t="n"/>
      <c r="DQ125" s="179" t="n"/>
      <c r="DR125" s="179" t="n"/>
      <c r="DS125" s="179" t="n"/>
      <c r="DT125" s="179" t="n"/>
      <c r="DU125" s="179" t="n"/>
      <c r="DV125" s="179" t="n"/>
      <c r="DW125" s="179" t="n"/>
      <c r="DX125" s="179" t="n"/>
      <c r="DY125" s="179" t="n"/>
      <c r="DZ125" s="179" t="n"/>
      <c r="EA125" s="179" t="n"/>
      <c r="EB125" s="179" t="n"/>
      <c r="EC125" s="179" t="n"/>
      <c r="ED125" s="179" t="n"/>
      <c r="EE125" s="179" t="n"/>
      <c r="EF125" s="179" t="n"/>
      <c r="EG125" s="179" t="n"/>
      <c r="EH125" s="179" t="n"/>
      <c r="EI125" s="179" t="n"/>
      <c r="EJ125" s="179" t="n"/>
      <c r="EK125" s="179" t="n"/>
      <c r="EL125" s="179" t="n"/>
      <c r="EM125" s="179" t="n"/>
      <c r="EN125" s="179" t="n"/>
      <c r="EO125" s="179" t="n"/>
      <c r="EP125" s="179" t="n"/>
      <c r="EQ125" s="179" t="n"/>
      <c r="ER125" s="179" t="n"/>
      <c r="ES125" s="179" t="n"/>
      <c r="ET125" s="179" t="n"/>
      <c r="EU125" s="179" t="n"/>
      <c r="EV125" s="179" t="n"/>
      <c r="EW125" s="179" t="n"/>
      <c r="EX125" s="179" t="n"/>
      <c r="EY125" s="179" t="n"/>
      <c r="EZ125" s="179" t="n"/>
      <c r="FA125" s="179" t="n"/>
      <c r="FB125" s="179" t="n"/>
      <c r="FC125" s="179" t="n"/>
      <c r="FD125" s="179" t="n"/>
      <c r="FE125" s="179" t="n"/>
      <c r="FF125" s="179" t="n"/>
      <c r="FG125" s="179" t="n"/>
      <c r="FH125" s="179" t="n"/>
      <c r="FI125" s="179" t="n"/>
      <c r="FJ125" s="179" t="n"/>
      <c r="FK125" s="179" t="n"/>
      <c r="FL125" s="179" t="n"/>
      <c r="FM125" s="179" t="n"/>
      <c r="FN125" s="179" t="n"/>
      <c r="FO125" s="179" t="n"/>
      <c r="FP125" s="179" t="n"/>
      <c r="FQ125" s="179" t="n"/>
      <c r="FR125" s="179" t="n"/>
      <c r="FS125" s="179" t="n"/>
      <c r="FT125" s="179" t="n"/>
      <c r="FU125" s="179" t="n"/>
      <c r="FV125" s="179" t="n"/>
      <c r="FW125" s="179" t="n"/>
      <c r="FX125" s="179" t="n"/>
      <c r="FY125" s="179" t="n"/>
      <c r="FZ125" s="179" t="n"/>
      <c r="GA125" s="179" t="n"/>
      <c r="GB125" s="179" t="n"/>
      <c r="GC125" s="179" t="n"/>
      <c r="GD125" s="179" t="n"/>
      <c r="GE125" s="179" t="n"/>
      <c r="GF125" s="179" t="n"/>
      <c r="GG125" s="179" t="n"/>
      <c r="GH125" s="179" t="n"/>
      <c r="GI125" s="179" t="n"/>
      <c r="GJ125" s="179" t="n"/>
      <c r="GK125" s="179" t="n"/>
      <c r="GL125" s="179" t="n"/>
      <c r="GM125" s="179" t="n"/>
      <c r="GN125" s="179" t="n"/>
      <c r="GO125" s="179" t="n"/>
      <c r="GP125" s="179" t="n"/>
      <c r="GQ125" s="179" t="n"/>
      <c r="GR125" s="179" t="n"/>
      <c r="GS125" s="179" t="n"/>
      <c r="GT125" s="179" t="n"/>
      <c r="GU125" s="179" t="n"/>
      <c r="GV125" s="179" t="n"/>
      <c r="GW125" s="179" t="n"/>
      <c r="GX125" s="179" t="n"/>
      <c r="GY125" s="179" t="n"/>
      <c r="GZ125" s="179" t="n"/>
      <c r="HA125" s="179" t="n"/>
      <c r="HB125" s="179" t="n"/>
      <c r="HC125" s="179" t="n"/>
      <c r="HD125" s="179" t="n"/>
      <c r="HE125" s="179" t="n"/>
      <c r="HF125" s="179" t="n"/>
      <c r="HG125" s="179" t="n"/>
      <c r="HH125" s="179" t="n"/>
      <c r="HI125" s="179" t="n"/>
      <c r="HJ125" s="179" t="n"/>
      <c r="HK125" s="179" t="n"/>
      <c r="HL125" s="179" t="n"/>
      <c r="HM125" s="179" t="n"/>
      <c r="HN125" s="179" t="n"/>
      <c r="HO125" s="179" t="n"/>
      <c r="HP125" s="179" t="n"/>
      <c r="HQ125" s="179" t="n"/>
      <c r="HR125" s="179" t="n"/>
      <c r="HS125" s="179" t="n"/>
      <c r="HT125" s="179" t="n"/>
      <c r="HU125" s="179" t="n"/>
      <c r="HV125" s="179" t="n"/>
      <c r="HW125" s="179" t="n"/>
      <c r="HX125" s="179" t="n"/>
      <c r="HY125" s="179" t="n"/>
      <c r="HZ125" s="179" t="n"/>
      <c r="IA125" s="179" t="n"/>
      <c r="IB125" s="179" t="n"/>
      <c r="IC125" s="179" t="n"/>
      <c r="ID125" s="179" t="n"/>
      <c r="IE125" s="179" t="n"/>
      <c r="IF125" s="179" t="n"/>
      <c r="IG125" s="179" t="n"/>
      <c r="IH125" s="179" t="n"/>
      <c r="II125" s="179" t="n"/>
      <c r="IJ125" s="179" t="n"/>
      <c r="IK125" s="179" t="n"/>
      <c r="IL125" s="179" t="n"/>
      <c r="IM125" s="179" t="n"/>
      <c r="IN125" s="179" t="n"/>
      <c r="IO125" s="179" t="n"/>
      <c r="IP125" s="179" t="n"/>
      <c r="IQ125" s="179" t="n"/>
      <c r="IR125" s="179" t="n"/>
      <c r="IS125" s="179" t="n"/>
      <c r="IT125" s="179" t="n"/>
      <c r="IU125" s="179" t="n"/>
      <c r="IV125" s="179" t="n"/>
    </row>
    <row r="126" ht="16.5" customFormat="1" customHeight="1" s="525">
      <c r="A126" s="206" t="n"/>
      <c r="B126" s="286" t="n"/>
      <c r="C126" s="44" t="n"/>
      <c r="D126" s="44" t="n"/>
      <c r="E126" s="44" t="n"/>
      <c r="F126" s="44" t="n"/>
      <c r="G126" s="44" t="n"/>
      <c r="H126" s="44" t="n"/>
      <c r="I126" s="161">
        <f>IF(COUNTBLANK(B126:H126)=7,"","PLAOIW")</f>
        <v/>
      </c>
      <c r="J126" s="182" t="n"/>
      <c r="K126" s="179" t="n"/>
      <c r="L126" s="179" t="n"/>
      <c r="M126" s="179" t="n"/>
      <c r="N126" s="179" t="n"/>
      <c r="O126" s="179" t="n"/>
      <c r="P126" s="179" t="n"/>
      <c r="Q126" s="179" t="n"/>
      <c r="R126" s="179" t="n"/>
      <c r="S126" s="179" t="n"/>
      <c r="T126" s="179" t="n"/>
      <c r="U126" s="179" t="n"/>
      <c r="V126" s="179" t="n"/>
      <c r="W126" s="179" t="n"/>
      <c r="X126" s="179" t="n"/>
      <c r="Y126" s="179" t="n"/>
      <c r="Z126" s="179" t="n"/>
      <c r="AA126" s="179" t="n"/>
      <c r="AB126" s="179" t="n"/>
      <c r="AC126" s="179" t="n"/>
      <c r="AD126" s="179" t="n"/>
      <c r="AE126" s="179" t="n"/>
      <c r="AF126" s="179" t="n"/>
      <c r="AG126" s="179" t="n"/>
      <c r="AH126" s="179" t="n"/>
      <c r="AI126" s="179" t="n"/>
      <c r="AJ126" s="179" t="n"/>
      <c r="AK126" s="179" t="n"/>
      <c r="AL126" s="179" t="n"/>
      <c r="AM126" s="179" t="n"/>
      <c r="AN126" s="179" t="n"/>
      <c r="AO126" s="179" t="n"/>
      <c r="AP126" s="179" t="n"/>
      <c r="AQ126" s="179" t="n"/>
      <c r="AR126" s="179" t="n"/>
      <c r="AS126" s="179" t="n"/>
      <c r="AT126" s="179" t="n"/>
      <c r="AU126" s="179" t="n"/>
      <c r="AV126" s="179" t="n"/>
      <c r="AW126" s="179" t="n"/>
      <c r="AX126" s="179" t="n"/>
      <c r="AY126" s="179" t="n"/>
      <c r="AZ126" s="179" t="n"/>
      <c r="BA126" s="179" t="n"/>
      <c r="BB126" s="179" t="n"/>
      <c r="BC126" s="179" t="n"/>
      <c r="BD126" s="179" t="n"/>
      <c r="BE126" s="179" t="n"/>
      <c r="BF126" s="179" t="n"/>
      <c r="BG126" s="179" t="n"/>
      <c r="BH126" s="179" t="n"/>
      <c r="BI126" s="179" t="n"/>
      <c r="BJ126" s="179" t="n"/>
      <c r="BK126" s="179" t="n"/>
      <c r="BL126" s="179" t="n"/>
      <c r="BM126" s="179" t="n"/>
      <c r="BN126" s="179" t="n"/>
      <c r="BO126" s="179" t="n"/>
      <c r="BP126" s="179" t="n"/>
      <c r="BQ126" s="179" t="n"/>
      <c r="BR126" s="179" t="n"/>
      <c r="BS126" s="179" t="n"/>
      <c r="BT126" s="179" t="n"/>
      <c r="BU126" s="179" t="n"/>
      <c r="BV126" s="179" t="n"/>
      <c r="BW126" s="179" t="n"/>
      <c r="BX126" s="179" t="n"/>
      <c r="BY126" s="179" t="n"/>
      <c r="BZ126" s="179" t="n"/>
      <c r="CA126" s="179" t="n"/>
      <c r="CB126" s="179" t="n"/>
      <c r="CC126" s="179" t="n"/>
      <c r="CD126" s="179" t="n"/>
      <c r="CE126" s="179" t="n"/>
      <c r="CF126" s="179" t="n"/>
      <c r="CG126" s="179" t="n"/>
      <c r="CH126" s="179" t="n"/>
      <c r="CI126" s="179" t="n"/>
      <c r="CJ126" s="179" t="n"/>
      <c r="CK126" s="179" t="n"/>
      <c r="CL126" s="179" t="n"/>
      <c r="CM126" s="179" t="n"/>
      <c r="CN126" s="179" t="n"/>
      <c r="CO126" s="179" t="n"/>
      <c r="CP126" s="179" t="n"/>
      <c r="CQ126" s="179" t="n"/>
      <c r="CR126" s="179" t="n"/>
      <c r="CS126" s="179" t="n"/>
      <c r="CT126" s="179" t="n"/>
      <c r="CU126" s="179" t="n"/>
      <c r="CV126" s="179" t="n"/>
      <c r="CW126" s="179" t="n"/>
      <c r="CX126" s="179" t="n"/>
      <c r="CY126" s="179" t="n"/>
      <c r="CZ126" s="179" t="n"/>
      <c r="DA126" s="179" t="n"/>
      <c r="DB126" s="179" t="n"/>
      <c r="DC126" s="179" t="n"/>
      <c r="DD126" s="179" t="n"/>
      <c r="DE126" s="179" t="n"/>
      <c r="DF126" s="179" t="n"/>
      <c r="DG126" s="179" t="n"/>
      <c r="DH126" s="179" t="n"/>
      <c r="DI126" s="179" t="n"/>
      <c r="DJ126" s="179" t="n"/>
      <c r="DK126" s="179" t="n"/>
      <c r="DL126" s="179" t="n"/>
      <c r="DM126" s="179" t="n"/>
      <c r="DN126" s="179" t="n"/>
      <c r="DO126" s="179" t="n"/>
      <c r="DP126" s="179" t="n"/>
      <c r="DQ126" s="179" t="n"/>
      <c r="DR126" s="179" t="n"/>
      <c r="DS126" s="179" t="n"/>
      <c r="DT126" s="179" t="n"/>
      <c r="DU126" s="179" t="n"/>
      <c r="DV126" s="179" t="n"/>
      <c r="DW126" s="179" t="n"/>
      <c r="DX126" s="179" t="n"/>
      <c r="DY126" s="179" t="n"/>
      <c r="DZ126" s="179" t="n"/>
      <c r="EA126" s="179" t="n"/>
      <c r="EB126" s="179" t="n"/>
      <c r="EC126" s="179" t="n"/>
      <c r="ED126" s="179" t="n"/>
      <c r="EE126" s="179" t="n"/>
      <c r="EF126" s="179" t="n"/>
      <c r="EG126" s="179" t="n"/>
      <c r="EH126" s="179" t="n"/>
      <c r="EI126" s="179" t="n"/>
      <c r="EJ126" s="179" t="n"/>
      <c r="EK126" s="179" t="n"/>
      <c r="EL126" s="179" t="n"/>
      <c r="EM126" s="179" t="n"/>
      <c r="EN126" s="179" t="n"/>
      <c r="EO126" s="179" t="n"/>
      <c r="EP126" s="179" t="n"/>
      <c r="EQ126" s="179" t="n"/>
      <c r="ER126" s="179" t="n"/>
      <c r="ES126" s="179" t="n"/>
      <c r="ET126" s="179" t="n"/>
      <c r="EU126" s="179" t="n"/>
      <c r="EV126" s="179" t="n"/>
      <c r="EW126" s="179" t="n"/>
      <c r="EX126" s="179" t="n"/>
      <c r="EY126" s="179" t="n"/>
      <c r="EZ126" s="179" t="n"/>
      <c r="FA126" s="179" t="n"/>
      <c r="FB126" s="179" t="n"/>
      <c r="FC126" s="179" t="n"/>
      <c r="FD126" s="179" t="n"/>
      <c r="FE126" s="179" t="n"/>
      <c r="FF126" s="179" t="n"/>
      <c r="FG126" s="179" t="n"/>
      <c r="FH126" s="179" t="n"/>
      <c r="FI126" s="179" t="n"/>
      <c r="FJ126" s="179" t="n"/>
      <c r="FK126" s="179" t="n"/>
      <c r="FL126" s="179" t="n"/>
      <c r="FM126" s="179" t="n"/>
      <c r="FN126" s="179" t="n"/>
      <c r="FO126" s="179" t="n"/>
      <c r="FP126" s="179" t="n"/>
      <c r="FQ126" s="179" t="n"/>
      <c r="FR126" s="179" t="n"/>
      <c r="FS126" s="179" t="n"/>
      <c r="FT126" s="179" t="n"/>
      <c r="FU126" s="179" t="n"/>
      <c r="FV126" s="179" t="n"/>
      <c r="FW126" s="179" t="n"/>
      <c r="FX126" s="179" t="n"/>
      <c r="FY126" s="179" t="n"/>
      <c r="FZ126" s="179" t="n"/>
      <c r="GA126" s="179" t="n"/>
      <c r="GB126" s="179" t="n"/>
      <c r="GC126" s="179" t="n"/>
      <c r="GD126" s="179" t="n"/>
      <c r="GE126" s="179" t="n"/>
      <c r="GF126" s="179" t="n"/>
      <c r="GG126" s="179" t="n"/>
      <c r="GH126" s="179" t="n"/>
      <c r="GI126" s="179" t="n"/>
      <c r="GJ126" s="179" t="n"/>
      <c r="GK126" s="179" t="n"/>
      <c r="GL126" s="179" t="n"/>
      <c r="GM126" s="179" t="n"/>
      <c r="GN126" s="179" t="n"/>
      <c r="GO126" s="179" t="n"/>
      <c r="GP126" s="179" t="n"/>
      <c r="GQ126" s="179" t="n"/>
      <c r="GR126" s="179" t="n"/>
      <c r="GS126" s="179" t="n"/>
      <c r="GT126" s="179" t="n"/>
      <c r="GU126" s="179" t="n"/>
      <c r="GV126" s="179" t="n"/>
      <c r="GW126" s="179" t="n"/>
      <c r="GX126" s="179" t="n"/>
      <c r="GY126" s="179" t="n"/>
      <c r="GZ126" s="179" t="n"/>
      <c r="HA126" s="179" t="n"/>
      <c r="HB126" s="179" t="n"/>
      <c r="HC126" s="179" t="n"/>
      <c r="HD126" s="179" t="n"/>
      <c r="HE126" s="179" t="n"/>
      <c r="HF126" s="179" t="n"/>
      <c r="HG126" s="179" t="n"/>
      <c r="HH126" s="179" t="n"/>
      <c r="HI126" s="179" t="n"/>
      <c r="HJ126" s="179" t="n"/>
      <c r="HK126" s="179" t="n"/>
      <c r="HL126" s="179" t="n"/>
      <c r="HM126" s="179" t="n"/>
      <c r="HN126" s="179" t="n"/>
      <c r="HO126" s="179" t="n"/>
      <c r="HP126" s="179" t="n"/>
      <c r="HQ126" s="179" t="n"/>
      <c r="HR126" s="179" t="n"/>
      <c r="HS126" s="179" t="n"/>
      <c r="HT126" s="179" t="n"/>
      <c r="HU126" s="179" t="n"/>
      <c r="HV126" s="179" t="n"/>
      <c r="HW126" s="179" t="n"/>
      <c r="HX126" s="179" t="n"/>
      <c r="HY126" s="179" t="n"/>
      <c r="HZ126" s="179" t="n"/>
      <c r="IA126" s="179" t="n"/>
      <c r="IB126" s="179" t="n"/>
      <c r="IC126" s="179" t="n"/>
      <c r="ID126" s="179" t="n"/>
      <c r="IE126" s="179" t="n"/>
      <c r="IF126" s="179" t="n"/>
      <c r="IG126" s="179" t="n"/>
      <c r="IH126" s="179" t="n"/>
      <c r="II126" s="179" t="n"/>
      <c r="IJ126" s="179" t="n"/>
      <c r="IK126" s="179" t="n"/>
      <c r="IL126" s="179" t="n"/>
      <c r="IM126" s="179" t="n"/>
      <c r="IN126" s="179" t="n"/>
      <c r="IO126" s="179" t="n"/>
      <c r="IP126" s="179" t="n"/>
      <c r="IQ126" s="179" t="n"/>
      <c r="IR126" s="179" t="n"/>
      <c r="IS126" s="179" t="n"/>
      <c r="IT126" s="179" t="n"/>
      <c r="IU126" s="179" t="n"/>
      <c r="IV126" s="179" t="n"/>
    </row>
    <row r="127" ht="16.5" customFormat="1" customHeight="1" s="525">
      <c r="A127" s="206" t="n"/>
      <c r="B127" s="286" t="n"/>
      <c r="C127" s="44" t="n"/>
      <c r="D127" s="44" t="n"/>
      <c r="E127" s="44" t="n"/>
      <c r="F127" s="44" t="n"/>
      <c r="G127" s="44" t="n"/>
      <c r="H127" s="44" t="n"/>
      <c r="I127" s="161">
        <f>IF(COUNTBLANK(B127:H127)=7,"","PLAOIW")</f>
        <v/>
      </c>
      <c r="J127" s="182" t="n"/>
      <c r="K127" s="179" t="n"/>
      <c r="L127" s="179" t="n"/>
      <c r="M127" s="179" t="n"/>
      <c r="N127" s="179" t="n"/>
      <c r="O127" s="179" t="n"/>
      <c r="P127" s="179" t="n"/>
      <c r="Q127" s="179" t="n"/>
      <c r="R127" s="179" t="n"/>
      <c r="S127" s="179" t="n"/>
      <c r="T127" s="179" t="n"/>
      <c r="U127" s="179" t="n"/>
      <c r="V127" s="179" t="n"/>
      <c r="W127" s="179" t="n"/>
      <c r="X127" s="179" t="n"/>
      <c r="Y127" s="179" t="n"/>
      <c r="Z127" s="179" t="n"/>
      <c r="AA127" s="179" t="n"/>
      <c r="AB127" s="179" t="n"/>
      <c r="AC127" s="179" t="n"/>
      <c r="AD127" s="179" t="n"/>
      <c r="AE127" s="179" t="n"/>
      <c r="AF127" s="179" t="n"/>
      <c r="AG127" s="179" t="n"/>
      <c r="AH127" s="179" t="n"/>
      <c r="AI127" s="179" t="n"/>
      <c r="AJ127" s="179" t="n"/>
      <c r="AK127" s="179" t="n"/>
      <c r="AL127" s="179" t="n"/>
      <c r="AM127" s="179" t="n"/>
      <c r="AN127" s="179" t="n"/>
      <c r="AO127" s="179" t="n"/>
      <c r="AP127" s="179" t="n"/>
      <c r="AQ127" s="179" t="n"/>
      <c r="AR127" s="179" t="n"/>
      <c r="AS127" s="179" t="n"/>
      <c r="AT127" s="179" t="n"/>
      <c r="AU127" s="179" t="n"/>
      <c r="AV127" s="179" t="n"/>
      <c r="AW127" s="179" t="n"/>
      <c r="AX127" s="179" t="n"/>
      <c r="AY127" s="179" t="n"/>
      <c r="AZ127" s="179" t="n"/>
      <c r="BA127" s="179" t="n"/>
      <c r="BB127" s="179" t="n"/>
      <c r="BC127" s="179" t="n"/>
      <c r="BD127" s="179" t="n"/>
      <c r="BE127" s="179" t="n"/>
      <c r="BF127" s="179" t="n"/>
      <c r="BG127" s="179" t="n"/>
      <c r="BH127" s="179" t="n"/>
      <c r="BI127" s="179" t="n"/>
      <c r="BJ127" s="179" t="n"/>
      <c r="BK127" s="179" t="n"/>
      <c r="BL127" s="179" t="n"/>
      <c r="BM127" s="179" t="n"/>
      <c r="BN127" s="179" t="n"/>
      <c r="BO127" s="179" t="n"/>
      <c r="BP127" s="179" t="n"/>
      <c r="BQ127" s="179" t="n"/>
      <c r="BR127" s="179" t="n"/>
      <c r="BS127" s="179" t="n"/>
      <c r="BT127" s="179" t="n"/>
      <c r="BU127" s="179" t="n"/>
      <c r="BV127" s="179" t="n"/>
      <c r="BW127" s="179" t="n"/>
      <c r="BX127" s="179" t="n"/>
      <c r="BY127" s="179" t="n"/>
      <c r="BZ127" s="179" t="n"/>
      <c r="CA127" s="179" t="n"/>
      <c r="CB127" s="179" t="n"/>
      <c r="CC127" s="179" t="n"/>
      <c r="CD127" s="179" t="n"/>
      <c r="CE127" s="179" t="n"/>
      <c r="CF127" s="179" t="n"/>
      <c r="CG127" s="179" t="n"/>
      <c r="CH127" s="179" t="n"/>
      <c r="CI127" s="179" t="n"/>
      <c r="CJ127" s="179" t="n"/>
      <c r="CK127" s="179" t="n"/>
      <c r="CL127" s="179" t="n"/>
      <c r="CM127" s="179" t="n"/>
      <c r="CN127" s="179" t="n"/>
      <c r="CO127" s="179" t="n"/>
      <c r="CP127" s="179" t="n"/>
      <c r="CQ127" s="179" t="n"/>
      <c r="CR127" s="179" t="n"/>
      <c r="CS127" s="179" t="n"/>
      <c r="CT127" s="179" t="n"/>
      <c r="CU127" s="179" t="n"/>
      <c r="CV127" s="179" t="n"/>
      <c r="CW127" s="179" t="n"/>
      <c r="CX127" s="179" t="n"/>
      <c r="CY127" s="179" t="n"/>
      <c r="CZ127" s="179" t="n"/>
      <c r="DA127" s="179" t="n"/>
      <c r="DB127" s="179" t="n"/>
      <c r="DC127" s="179" t="n"/>
      <c r="DD127" s="179" t="n"/>
      <c r="DE127" s="179" t="n"/>
      <c r="DF127" s="179" t="n"/>
      <c r="DG127" s="179" t="n"/>
      <c r="DH127" s="179" t="n"/>
      <c r="DI127" s="179" t="n"/>
      <c r="DJ127" s="179" t="n"/>
      <c r="DK127" s="179" t="n"/>
      <c r="DL127" s="179" t="n"/>
      <c r="DM127" s="179" t="n"/>
      <c r="DN127" s="179" t="n"/>
      <c r="DO127" s="179" t="n"/>
      <c r="DP127" s="179" t="n"/>
      <c r="DQ127" s="179" t="n"/>
      <c r="DR127" s="179" t="n"/>
      <c r="DS127" s="179" t="n"/>
      <c r="DT127" s="179" t="n"/>
      <c r="DU127" s="179" t="n"/>
      <c r="DV127" s="179" t="n"/>
      <c r="DW127" s="179" t="n"/>
      <c r="DX127" s="179" t="n"/>
      <c r="DY127" s="179" t="n"/>
      <c r="DZ127" s="179" t="n"/>
      <c r="EA127" s="179" t="n"/>
      <c r="EB127" s="179" t="n"/>
      <c r="EC127" s="179" t="n"/>
      <c r="ED127" s="179" t="n"/>
      <c r="EE127" s="179" t="n"/>
      <c r="EF127" s="179" t="n"/>
      <c r="EG127" s="179" t="n"/>
      <c r="EH127" s="179" t="n"/>
      <c r="EI127" s="179" t="n"/>
      <c r="EJ127" s="179" t="n"/>
      <c r="EK127" s="179" t="n"/>
      <c r="EL127" s="179" t="n"/>
      <c r="EM127" s="179" t="n"/>
      <c r="EN127" s="179" t="n"/>
      <c r="EO127" s="179" t="n"/>
      <c r="EP127" s="179" t="n"/>
      <c r="EQ127" s="179" t="n"/>
      <c r="ER127" s="179" t="n"/>
      <c r="ES127" s="179" t="n"/>
      <c r="ET127" s="179" t="n"/>
      <c r="EU127" s="179" t="n"/>
      <c r="EV127" s="179" t="n"/>
      <c r="EW127" s="179" t="n"/>
      <c r="EX127" s="179" t="n"/>
      <c r="EY127" s="179" t="n"/>
      <c r="EZ127" s="179" t="n"/>
      <c r="FA127" s="179" t="n"/>
      <c r="FB127" s="179" t="n"/>
      <c r="FC127" s="179" t="n"/>
      <c r="FD127" s="179" t="n"/>
      <c r="FE127" s="179" t="n"/>
      <c r="FF127" s="179" t="n"/>
      <c r="FG127" s="179" t="n"/>
      <c r="FH127" s="179" t="n"/>
      <c r="FI127" s="179" t="n"/>
      <c r="FJ127" s="179" t="n"/>
      <c r="FK127" s="179" t="n"/>
      <c r="FL127" s="179" t="n"/>
      <c r="FM127" s="179" t="n"/>
      <c r="FN127" s="179" t="n"/>
      <c r="FO127" s="179" t="n"/>
      <c r="FP127" s="179" t="n"/>
      <c r="FQ127" s="179" t="n"/>
      <c r="FR127" s="179" t="n"/>
      <c r="FS127" s="179" t="n"/>
      <c r="FT127" s="179" t="n"/>
      <c r="FU127" s="179" t="n"/>
      <c r="FV127" s="179" t="n"/>
      <c r="FW127" s="179" t="n"/>
      <c r="FX127" s="179" t="n"/>
      <c r="FY127" s="179" t="n"/>
      <c r="FZ127" s="179" t="n"/>
      <c r="GA127" s="179" t="n"/>
      <c r="GB127" s="179" t="n"/>
      <c r="GC127" s="179" t="n"/>
      <c r="GD127" s="179" t="n"/>
      <c r="GE127" s="179" t="n"/>
      <c r="GF127" s="179" t="n"/>
      <c r="GG127" s="179" t="n"/>
      <c r="GH127" s="179" t="n"/>
      <c r="GI127" s="179" t="n"/>
      <c r="GJ127" s="179" t="n"/>
      <c r="GK127" s="179" t="n"/>
      <c r="GL127" s="179" t="n"/>
      <c r="GM127" s="179" t="n"/>
      <c r="GN127" s="179" t="n"/>
      <c r="GO127" s="179" t="n"/>
      <c r="GP127" s="179" t="n"/>
      <c r="GQ127" s="179" t="n"/>
      <c r="GR127" s="179" t="n"/>
      <c r="GS127" s="179" t="n"/>
      <c r="GT127" s="179" t="n"/>
      <c r="GU127" s="179" t="n"/>
      <c r="GV127" s="179" t="n"/>
      <c r="GW127" s="179" t="n"/>
      <c r="GX127" s="179" t="n"/>
      <c r="GY127" s="179" t="n"/>
      <c r="GZ127" s="179" t="n"/>
      <c r="HA127" s="179" t="n"/>
      <c r="HB127" s="179" t="n"/>
      <c r="HC127" s="179" t="n"/>
      <c r="HD127" s="179" t="n"/>
      <c r="HE127" s="179" t="n"/>
      <c r="HF127" s="179" t="n"/>
      <c r="HG127" s="179" t="n"/>
      <c r="HH127" s="179" t="n"/>
      <c r="HI127" s="179" t="n"/>
      <c r="HJ127" s="179" t="n"/>
      <c r="HK127" s="179" t="n"/>
      <c r="HL127" s="179" t="n"/>
      <c r="HM127" s="179" t="n"/>
      <c r="HN127" s="179" t="n"/>
      <c r="HO127" s="179" t="n"/>
      <c r="HP127" s="179" t="n"/>
      <c r="HQ127" s="179" t="n"/>
      <c r="HR127" s="179" t="n"/>
      <c r="HS127" s="179" t="n"/>
      <c r="HT127" s="179" t="n"/>
      <c r="HU127" s="179" t="n"/>
      <c r="HV127" s="179" t="n"/>
      <c r="HW127" s="179" t="n"/>
      <c r="HX127" s="179" t="n"/>
      <c r="HY127" s="179" t="n"/>
      <c r="HZ127" s="179" t="n"/>
      <c r="IA127" s="179" t="n"/>
      <c r="IB127" s="179" t="n"/>
      <c r="IC127" s="179" t="n"/>
      <c r="ID127" s="179" t="n"/>
      <c r="IE127" s="179" t="n"/>
      <c r="IF127" s="179" t="n"/>
      <c r="IG127" s="179" t="n"/>
      <c r="IH127" s="179" t="n"/>
      <c r="II127" s="179" t="n"/>
      <c r="IJ127" s="179" t="n"/>
      <c r="IK127" s="179" t="n"/>
      <c r="IL127" s="179" t="n"/>
      <c r="IM127" s="179" t="n"/>
      <c r="IN127" s="179" t="n"/>
      <c r="IO127" s="179" t="n"/>
      <c r="IP127" s="179" t="n"/>
      <c r="IQ127" s="179" t="n"/>
      <c r="IR127" s="179" t="n"/>
      <c r="IS127" s="179" t="n"/>
      <c r="IT127" s="179" t="n"/>
      <c r="IU127" s="179" t="n"/>
      <c r="IV127" s="179" t="n"/>
    </row>
    <row r="128" ht="16.5" customFormat="1" customHeight="1" s="525">
      <c r="A128" s="206" t="n"/>
      <c r="B128" s="181" t="inlineStr">
        <is>
          <t>Total of Other Income</t>
        </is>
      </c>
      <c r="C128" s="139">
        <f>SUM(C123:OFFSET(PLA.OIBussW,-1,0))</f>
        <v/>
      </c>
      <c r="D128" s="139">
        <f>SUM(D123:OFFSET(PLA.OIFarmW,-1,0))</f>
        <v/>
      </c>
      <c r="E128" s="139">
        <f>SUM(E123:OFFSET(PLA.OIRentW,-1,0))</f>
        <v/>
      </c>
      <c r="F128" s="139">
        <f>SUM(F123:OFFSET(PLA.OIIntW,-1,0))</f>
        <v/>
      </c>
      <c r="G128" s="139">
        <f>SUM(G123:OFFSET(PLA.OICommW,-1,0))</f>
        <v/>
      </c>
      <c r="H128" s="139">
        <f>SUM(H123:OFFSET(PLA.OIOthW,-1,0))</f>
        <v/>
      </c>
      <c r="I128" s="179" t="n"/>
      <c r="J128" s="182" t="n"/>
      <c r="K128" s="179" t="n"/>
      <c r="L128" s="179" t="n"/>
      <c r="M128" s="179" t="n"/>
      <c r="N128" s="179" t="n"/>
      <c r="O128" s="179" t="n"/>
      <c r="P128" s="179" t="n"/>
      <c r="Q128" s="179" t="n"/>
      <c r="R128" s="179" t="n"/>
      <c r="S128" s="179" t="n"/>
      <c r="T128" s="179" t="n"/>
      <c r="U128" s="179" t="n"/>
      <c r="V128" s="179" t="n"/>
      <c r="W128" s="179" t="n"/>
      <c r="X128" s="179" t="n"/>
      <c r="Y128" s="179" t="n"/>
      <c r="Z128" s="179" t="n"/>
      <c r="AA128" s="179" t="n"/>
      <c r="AB128" s="179" t="n"/>
      <c r="AC128" s="179" t="n"/>
      <c r="AD128" s="179" t="n"/>
      <c r="AE128" s="179" t="n"/>
      <c r="AF128" s="179" t="n"/>
      <c r="AG128" s="179" t="n"/>
      <c r="AH128" s="179" t="n"/>
      <c r="AI128" s="179" t="n"/>
      <c r="AJ128" s="179" t="n"/>
      <c r="AK128" s="179" t="n"/>
      <c r="AL128" s="179" t="n"/>
      <c r="AM128" s="179" t="n"/>
      <c r="AN128" s="179" t="n"/>
      <c r="AO128" s="179" t="n"/>
      <c r="AP128" s="179" t="n"/>
      <c r="AQ128" s="179" t="n"/>
      <c r="AR128" s="179" t="n"/>
      <c r="AS128" s="179" t="n"/>
      <c r="AT128" s="179" t="n"/>
      <c r="AU128" s="179" t="n"/>
      <c r="AV128" s="179" t="n"/>
      <c r="AW128" s="179" t="n"/>
      <c r="AX128" s="179" t="n"/>
      <c r="AY128" s="179" t="n"/>
      <c r="AZ128" s="179" t="n"/>
      <c r="BA128" s="179" t="n"/>
      <c r="BB128" s="179" t="n"/>
      <c r="BC128" s="179" t="n"/>
      <c r="BD128" s="179" t="n"/>
      <c r="BE128" s="179" t="n"/>
      <c r="BF128" s="179" t="n"/>
      <c r="BG128" s="179" t="n"/>
      <c r="BH128" s="179" t="n"/>
      <c r="BI128" s="179" t="n"/>
      <c r="BJ128" s="179" t="n"/>
      <c r="BK128" s="179" t="n"/>
      <c r="BL128" s="179" t="n"/>
      <c r="BM128" s="179" t="n"/>
      <c r="BN128" s="179" t="n"/>
      <c r="BO128" s="179" t="n"/>
      <c r="BP128" s="179" t="n"/>
      <c r="BQ128" s="179" t="n"/>
      <c r="BR128" s="179" t="n"/>
      <c r="BS128" s="179" t="n"/>
      <c r="BT128" s="179" t="n"/>
      <c r="BU128" s="179" t="n"/>
      <c r="BV128" s="179" t="n"/>
      <c r="BW128" s="179" t="n"/>
      <c r="BX128" s="179" t="n"/>
      <c r="BY128" s="179" t="n"/>
      <c r="BZ128" s="179" t="n"/>
      <c r="CA128" s="179" t="n"/>
      <c r="CB128" s="179" t="n"/>
      <c r="CC128" s="179" t="n"/>
      <c r="CD128" s="179" t="n"/>
      <c r="CE128" s="179" t="n"/>
      <c r="CF128" s="179" t="n"/>
      <c r="CG128" s="179" t="n"/>
      <c r="CH128" s="179" t="n"/>
      <c r="CI128" s="179" t="n"/>
      <c r="CJ128" s="179" t="n"/>
      <c r="CK128" s="179" t="n"/>
      <c r="CL128" s="179" t="n"/>
      <c r="CM128" s="179" t="n"/>
      <c r="CN128" s="179" t="n"/>
      <c r="CO128" s="179" t="n"/>
      <c r="CP128" s="179" t="n"/>
      <c r="CQ128" s="179" t="n"/>
      <c r="CR128" s="179" t="n"/>
      <c r="CS128" s="179" t="n"/>
      <c r="CT128" s="179" t="n"/>
      <c r="CU128" s="179" t="n"/>
      <c r="CV128" s="179" t="n"/>
      <c r="CW128" s="179" t="n"/>
      <c r="CX128" s="179" t="n"/>
      <c r="CY128" s="179" t="n"/>
      <c r="CZ128" s="179" t="n"/>
      <c r="DA128" s="179" t="n"/>
      <c r="DB128" s="179" t="n"/>
      <c r="DC128" s="179" t="n"/>
      <c r="DD128" s="179" t="n"/>
      <c r="DE128" s="179" t="n"/>
      <c r="DF128" s="179" t="n"/>
      <c r="DG128" s="179" t="n"/>
      <c r="DH128" s="179" t="n"/>
      <c r="DI128" s="179" t="n"/>
      <c r="DJ128" s="179" t="n"/>
      <c r="DK128" s="179" t="n"/>
      <c r="DL128" s="179" t="n"/>
      <c r="DM128" s="179" t="n"/>
      <c r="DN128" s="179" t="n"/>
      <c r="DO128" s="179" t="n"/>
      <c r="DP128" s="179" t="n"/>
      <c r="DQ128" s="179" t="n"/>
      <c r="DR128" s="179" t="n"/>
      <c r="DS128" s="179" t="n"/>
      <c r="DT128" s="179" t="n"/>
      <c r="DU128" s="179" t="n"/>
      <c r="DV128" s="179" t="n"/>
      <c r="DW128" s="179" t="n"/>
      <c r="DX128" s="179" t="n"/>
      <c r="DY128" s="179" t="n"/>
      <c r="DZ128" s="179" t="n"/>
      <c r="EA128" s="179" t="n"/>
      <c r="EB128" s="179" t="n"/>
      <c r="EC128" s="179" t="n"/>
      <c r="ED128" s="179" t="n"/>
      <c r="EE128" s="179" t="n"/>
      <c r="EF128" s="179" t="n"/>
      <c r="EG128" s="179" t="n"/>
      <c r="EH128" s="179" t="n"/>
      <c r="EI128" s="179" t="n"/>
      <c r="EJ128" s="179" t="n"/>
      <c r="EK128" s="179" t="n"/>
      <c r="EL128" s="179" t="n"/>
      <c r="EM128" s="179" t="n"/>
      <c r="EN128" s="179" t="n"/>
      <c r="EO128" s="179" t="n"/>
      <c r="EP128" s="179" t="n"/>
      <c r="EQ128" s="179" t="n"/>
      <c r="ER128" s="179" t="n"/>
      <c r="ES128" s="179" t="n"/>
      <c r="ET128" s="179" t="n"/>
      <c r="EU128" s="179" t="n"/>
      <c r="EV128" s="179" t="n"/>
      <c r="EW128" s="179" t="n"/>
      <c r="EX128" s="179" t="n"/>
      <c r="EY128" s="179" t="n"/>
      <c r="EZ128" s="179" t="n"/>
      <c r="FA128" s="179" t="n"/>
      <c r="FB128" s="179" t="n"/>
      <c r="FC128" s="179" t="n"/>
      <c r="FD128" s="179" t="n"/>
      <c r="FE128" s="179" t="n"/>
      <c r="FF128" s="179" t="n"/>
      <c r="FG128" s="179" t="n"/>
      <c r="FH128" s="179" t="n"/>
      <c r="FI128" s="179" t="n"/>
      <c r="FJ128" s="179" t="n"/>
      <c r="FK128" s="179" t="n"/>
      <c r="FL128" s="179" t="n"/>
      <c r="FM128" s="179" t="n"/>
      <c r="FN128" s="179" t="n"/>
      <c r="FO128" s="179" t="n"/>
      <c r="FP128" s="179" t="n"/>
      <c r="FQ128" s="179" t="n"/>
      <c r="FR128" s="179" t="n"/>
      <c r="FS128" s="179" t="n"/>
      <c r="FT128" s="179" t="n"/>
      <c r="FU128" s="179" t="n"/>
      <c r="FV128" s="179" t="n"/>
      <c r="FW128" s="179" t="n"/>
      <c r="FX128" s="179" t="n"/>
      <c r="FY128" s="179" t="n"/>
      <c r="FZ128" s="179" t="n"/>
      <c r="GA128" s="179" t="n"/>
      <c r="GB128" s="179" t="n"/>
      <c r="GC128" s="179" t="n"/>
      <c r="GD128" s="179" t="n"/>
      <c r="GE128" s="179" t="n"/>
      <c r="GF128" s="179" t="n"/>
      <c r="GG128" s="179" t="n"/>
      <c r="GH128" s="179" t="n"/>
      <c r="GI128" s="179" t="n"/>
      <c r="GJ128" s="179" t="n"/>
      <c r="GK128" s="179" t="n"/>
      <c r="GL128" s="179" t="n"/>
      <c r="GM128" s="179" t="n"/>
      <c r="GN128" s="179" t="n"/>
      <c r="GO128" s="179" t="n"/>
      <c r="GP128" s="179" t="n"/>
      <c r="GQ128" s="179" t="n"/>
      <c r="GR128" s="179" t="n"/>
      <c r="GS128" s="179" t="n"/>
      <c r="GT128" s="179" t="n"/>
      <c r="GU128" s="179" t="n"/>
      <c r="GV128" s="179" t="n"/>
      <c r="GW128" s="179" t="n"/>
      <c r="GX128" s="179" t="n"/>
      <c r="GY128" s="179" t="n"/>
      <c r="GZ128" s="179" t="n"/>
      <c r="HA128" s="179" t="n"/>
      <c r="HB128" s="179" t="n"/>
      <c r="HC128" s="179" t="n"/>
      <c r="HD128" s="179" t="n"/>
      <c r="HE128" s="179" t="n"/>
      <c r="HF128" s="179" t="n"/>
      <c r="HG128" s="179" t="n"/>
      <c r="HH128" s="179" t="n"/>
      <c r="HI128" s="179" t="n"/>
      <c r="HJ128" s="179" t="n"/>
      <c r="HK128" s="179" t="n"/>
      <c r="HL128" s="179" t="n"/>
      <c r="HM128" s="179" t="n"/>
      <c r="HN128" s="179" t="n"/>
      <c r="HO128" s="179" t="n"/>
      <c r="HP128" s="179" t="n"/>
      <c r="HQ128" s="179" t="n"/>
      <c r="HR128" s="179" t="n"/>
      <c r="HS128" s="179" t="n"/>
      <c r="HT128" s="179" t="n"/>
      <c r="HU128" s="179" t="n"/>
      <c r="HV128" s="179" t="n"/>
      <c r="HW128" s="179" t="n"/>
      <c r="HX128" s="179" t="n"/>
      <c r="HY128" s="179" t="n"/>
      <c r="HZ128" s="179" t="n"/>
      <c r="IA128" s="179" t="n"/>
      <c r="IB128" s="179" t="n"/>
      <c r="IC128" s="179" t="n"/>
      <c r="ID128" s="179" t="n"/>
      <c r="IE128" s="179" t="n"/>
      <c r="IF128" s="179" t="n"/>
      <c r="IG128" s="179" t="n"/>
      <c r="IH128" s="179" t="n"/>
      <c r="II128" s="179" t="n"/>
      <c r="IJ128" s="179" t="n"/>
      <c r="IK128" s="179" t="n"/>
      <c r="IL128" s="179" t="n"/>
      <c r="IM128" s="179" t="n"/>
      <c r="IN128" s="179" t="n"/>
      <c r="IO128" s="179" t="n"/>
      <c r="IP128" s="179" t="n"/>
      <c r="IQ128" s="179" t="n"/>
      <c r="IR128" s="179" t="n"/>
      <c r="IS128" s="179" t="n"/>
      <c r="IT128" s="179" t="n"/>
      <c r="IU128" s="179" t="n"/>
      <c r="IV128" s="179" t="n"/>
    </row>
    <row r="129" ht="37.5" customFormat="1" customHeight="1" s="525">
      <c r="A129" s="206" t="n"/>
      <c r="B129" s="206" t="n"/>
      <c r="C129" s="206" t="n"/>
      <c r="D129" s="206" t="n"/>
      <c r="E129" s="206" t="n"/>
      <c r="F129" s="179" t="n"/>
      <c r="G129" s="179" t="n"/>
      <c r="H129" s="179" t="n"/>
      <c r="I129" s="179" t="n"/>
      <c r="J129" s="182" t="n"/>
      <c r="K129" s="179" t="n"/>
      <c r="L129" s="179" t="n"/>
      <c r="M129" s="179" t="n"/>
      <c r="N129" s="179" t="n"/>
      <c r="O129" s="179" t="n"/>
      <c r="P129" s="179" t="n"/>
      <c r="Q129" s="179" t="n"/>
      <c r="R129" s="179" t="n"/>
      <c r="S129" s="179" t="n"/>
      <c r="T129" s="179" t="n"/>
      <c r="U129" s="179" t="n"/>
      <c r="V129" s="179" t="n"/>
      <c r="W129" s="179" t="n"/>
      <c r="X129" s="179" t="n"/>
      <c r="Y129" s="179" t="n"/>
      <c r="Z129" s="179" t="n"/>
      <c r="AA129" s="179" t="n"/>
      <c r="AB129" s="179" t="n"/>
      <c r="AC129" s="179" t="n"/>
      <c r="AD129" s="179" t="n"/>
      <c r="AE129" s="179" t="n"/>
      <c r="AF129" s="179" t="n"/>
      <c r="AG129" s="179" t="n"/>
      <c r="AH129" s="179" t="n"/>
      <c r="AI129" s="179" t="n"/>
      <c r="AJ129" s="179" t="n"/>
      <c r="AK129" s="179" t="n"/>
      <c r="AL129" s="179" t="n"/>
      <c r="AM129" s="179" t="n"/>
      <c r="AN129" s="179" t="n"/>
      <c r="AO129" s="179" t="n"/>
      <c r="AP129" s="179" t="n"/>
      <c r="AQ129" s="179" t="n"/>
      <c r="AR129" s="179" t="n"/>
      <c r="AS129" s="179" t="n"/>
      <c r="AT129" s="179" t="n"/>
      <c r="AU129" s="179" t="n"/>
      <c r="AV129" s="179" t="n"/>
      <c r="AW129" s="179" t="n"/>
      <c r="AX129" s="179" t="n"/>
      <c r="AY129" s="179" t="n"/>
      <c r="AZ129" s="179" t="n"/>
      <c r="BA129" s="179" t="n"/>
      <c r="BB129" s="179" t="n"/>
      <c r="BC129" s="179" t="n"/>
      <c r="BD129" s="179" t="n"/>
      <c r="BE129" s="179" t="n"/>
      <c r="BF129" s="179" t="n"/>
      <c r="BG129" s="179" t="n"/>
      <c r="BH129" s="179" t="n"/>
      <c r="BI129" s="179" t="n"/>
      <c r="BJ129" s="179" t="n"/>
      <c r="BK129" s="179" t="n"/>
      <c r="BL129" s="179" t="n"/>
      <c r="BM129" s="179" t="n"/>
      <c r="BN129" s="179" t="n"/>
      <c r="BO129" s="179" t="n"/>
      <c r="BP129" s="179" t="n"/>
      <c r="BQ129" s="179" t="n"/>
      <c r="BR129" s="179" t="n"/>
      <c r="BS129" s="179" t="n"/>
      <c r="BT129" s="179" t="n"/>
      <c r="BU129" s="179" t="n"/>
      <c r="BV129" s="179" t="n"/>
      <c r="BW129" s="179" t="n"/>
      <c r="BX129" s="179" t="n"/>
      <c r="BY129" s="179" t="n"/>
      <c r="BZ129" s="179" t="n"/>
      <c r="CA129" s="179" t="n"/>
      <c r="CB129" s="179" t="n"/>
      <c r="CC129" s="179" t="n"/>
      <c r="CD129" s="179" t="n"/>
      <c r="CE129" s="179" t="n"/>
      <c r="CF129" s="179" t="n"/>
      <c r="CG129" s="179" t="n"/>
      <c r="CH129" s="179" t="n"/>
      <c r="CI129" s="179" t="n"/>
      <c r="CJ129" s="179" t="n"/>
      <c r="CK129" s="179" t="n"/>
      <c r="CL129" s="179" t="n"/>
      <c r="CM129" s="179" t="n"/>
      <c r="CN129" s="179" t="n"/>
      <c r="CO129" s="179" t="n"/>
      <c r="CP129" s="179" t="n"/>
      <c r="CQ129" s="179" t="n"/>
      <c r="CR129" s="179" t="n"/>
      <c r="CS129" s="179" t="n"/>
      <c r="CT129" s="179" t="n"/>
      <c r="CU129" s="179" t="n"/>
      <c r="CV129" s="179" t="n"/>
      <c r="CW129" s="179" t="n"/>
      <c r="CX129" s="179" t="n"/>
      <c r="CY129" s="179" t="n"/>
      <c r="CZ129" s="179" t="n"/>
      <c r="DA129" s="179" t="n"/>
      <c r="DB129" s="179" t="n"/>
      <c r="DC129" s="179" t="n"/>
      <c r="DD129" s="179" t="n"/>
      <c r="DE129" s="179" t="n"/>
      <c r="DF129" s="179" t="n"/>
      <c r="DG129" s="179" t="n"/>
      <c r="DH129" s="179" t="n"/>
      <c r="DI129" s="179" t="n"/>
      <c r="DJ129" s="179" t="n"/>
      <c r="DK129" s="179" t="n"/>
      <c r="DL129" s="179" t="n"/>
      <c r="DM129" s="179" t="n"/>
      <c r="DN129" s="179" t="n"/>
      <c r="DO129" s="179" t="n"/>
      <c r="DP129" s="179" t="n"/>
      <c r="DQ129" s="179" t="n"/>
      <c r="DR129" s="179" t="n"/>
      <c r="DS129" s="179" t="n"/>
      <c r="DT129" s="179" t="n"/>
      <c r="DU129" s="179" t="n"/>
      <c r="DV129" s="179" t="n"/>
      <c r="DW129" s="179" t="n"/>
      <c r="DX129" s="179" t="n"/>
      <c r="DY129" s="179" t="n"/>
      <c r="DZ129" s="179" t="n"/>
      <c r="EA129" s="179" t="n"/>
      <c r="EB129" s="179" t="n"/>
      <c r="EC129" s="179" t="n"/>
      <c r="ED129" s="179" t="n"/>
      <c r="EE129" s="179" t="n"/>
      <c r="EF129" s="179" t="n"/>
      <c r="EG129" s="179" t="n"/>
      <c r="EH129" s="179" t="n"/>
      <c r="EI129" s="179" t="n"/>
      <c r="EJ129" s="179" t="n"/>
      <c r="EK129" s="179" t="n"/>
      <c r="EL129" s="179" t="n"/>
      <c r="EM129" s="179" t="n"/>
      <c r="EN129" s="179" t="n"/>
      <c r="EO129" s="179" t="n"/>
      <c r="EP129" s="179" t="n"/>
      <c r="EQ129" s="179" t="n"/>
      <c r="ER129" s="179" t="n"/>
      <c r="ES129" s="179" t="n"/>
      <c r="ET129" s="179" t="n"/>
      <c r="EU129" s="179" t="n"/>
      <c r="EV129" s="179" t="n"/>
      <c r="EW129" s="179" t="n"/>
      <c r="EX129" s="179" t="n"/>
      <c r="EY129" s="179" t="n"/>
      <c r="EZ129" s="179" t="n"/>
      <c r="FA129" s="179" t="n"/>
      <c r="FB129" s="179" t="n"/>
      <c r="FC129" s="179" t="n"/>
      <c r="FD129" s="179" t="n"/>
      <c r="FE129" s="179" t="n"/>
      <c r="FF129" s="179" t="n"/>
      <c r="FG129" s="179" t="n"/>
      <c r="FH129" s="179" t="n"/>
      <c r="FI129" s="179" t="n"/>
      <c r="FJ129" s="179" t="n"/>
      <c r="FK129" s="179" t="n"/>
      <c r="FL129" s="179" t="n"/>
      <c r="FM129" s="179" t="n"/>
      <c r="FN129" s="179" t="n"/>
      <c r="FO129" s="179" t="n"/>
      <c r="FP129" s="179" t="n"/>
      <c r="FQ129" s="179" t="n"/>
      <c r="FR129" s="179" t="n"/>
      <c r="FS129" s="179" t="n"/>
      <c r="FT129" s="179" t="n"/>
      <c r="FU129" s="179" t="n"/>
      <c r="FV129" s="179" t="n"/>
      <c r="FW129" s="179" t="n"/>
      <c r="FX129" s="179" t="n"/>
      <c r="FY129" s="179" t="n"/>
      <c r="FZ129" s="179" t="n"/>
      <c r="GA129" s="179" t="n"/>
      <c r="GB129" s="179" t="n"/>
      <c r="GC129" s="179" t="n"/>
      <c r="GD129" s="179" t="n"/>
      <c r="GE129" s="179" t="n"/>
      <c r="GF129" s="179" t="n"/>
      <c r="GG129" s="179" t="n"/>
      <c r="GH129" s="179" t="n"/>
      <c r="GI129" s="179" t="n"/>
      <c r="GJ129" s="179" t="n"/>
      <c r="GK129" s="179" t="n"/>
      <c r="GL129" s="179" t="n"/>
      <c r="GM129" s="179" t="n"/>
      <c r="GN129" s="179" t="n"/>
      <c r="GO129" s="179" t="n"/>
      <c r="GP129" s="179" t="n"/>
      <c r="GQ129" s="179" t="n"/>
      <c r="GR129" s="179" t="n"/>
      <c r="GS129" s="179" t="n"/>
      <c r="GT129" s="179" t="n"/>
      <c r="GU129" s="179" t="n"/>
      <c r="GV129" s="179" t="n"/>
      <c r="GW129" s="179" t="n"/>
      <c r="GX129" s="179" t="n"/>
      <c r="GY129" s="179" t="n"/>
      <c r="GZ129" s="179" t="n"/>
      <c r="HA129" s="179" t="n"/>
      <c r="HB129" s="179" t="n"/>
      <c r="HC129" s="179" t="n"/>
      <c r="HD129" s="179" t="n"/>
      <c r="HE129" s="179" t="n"/>
      <c r="HF129" s="179" t="n"/>
      <c r="HG129" s="179" t="n"/>
      <c r="HH129" s="179" t="n"/>
      <c r="HI129" s="179" t="n"/>
      <c r="HJ129" s="179" t="n"/>
      <c r="HK129" s="179" t="n"/>
      <c r="HL129" s="179" t="n"/>
      <c r="HM129" s="179" t="n"/>
      <c r="HN129" s="179" t="n"/>
      <c r="HO129" s="179" t="n"/>
      <c r="HP129" s="179" t="n"/>
      <c r="HQ129" s="179" t="n"/>
      <c r="HR129" s="179" t="n"/>
      <c r="HS129" s="179" t="n"/>
      <c r="HT129" s="179" t="n"/>
      <c r="HU129" s="179" t="n"/>
      <c r="HV129" s="179" t="n"/>
      <c r="HW129" s="179" t="n"/>
      <c r="HX129" s="179" t="n"/>
      <c r="HY129" s="179" t="n"/>
      <c r="HZ129" s="179" t="n"/>
      <c r="IA129" s="179" t="n"/>
      <c r="IB129" s="179" t="n"/>
      <c r="IC129" s="179" t="n"/>
      <c r="ID129" s="179" t="n"/>
      <c r="IE129" s="179" t="n"/>
      <c r="IF129" s="179" t="n"/>
      <c r="IG129" s="179" t="n"/>
      <c r="IH129" s="179" t="n"/>
      <c r="II129" s="179" t="n"/>
      <c r="IJ129" s="179" t="n"/>
      <c r="IK129" s="179" t="n"/>
      <c r="IL129" s="179" t="n"/>
      <c r="IM129" s="179" t="n"/>
      <c r="IN129" s="179" t="n"/>
      <c r="IO129" s="179" t="n"/>
      <c r="IP129" s="179" t="n"/>
      <c r="IQ129" s="179" t="n"/>
      <c r="IR129" s="179" t="n"/>
      <c r="IS129" s="179" t="n"/>
      <c r="IT129" s="179" t="n"/>
      <c r="IU129" s="179" t="n"/>
      <c r="IV129" s="179" t="n"/>
    </row>
    <row r="130" ht="37.5" customFormat="1" customHeight="1" s="525">
      <c r="A130" s="206" t="n"/>
      <c r="B130" s="206" t="n"/>
      <c r="C130" s="206" t="n"/>
      <c r="D130" s="206" t="n"/>
      <c r="E130" s="206" t="n"/>
      <c r="F130" s="179" t="n"/>
      <c r="G130" s="179" t="n"/>
      <c r="H130" s="179" t="n"/>
      <c r="I130" s="179" t="n"/>
      <c r="J130" s="182" t="n"/>
      <c r="K130" s="179" t="n"/>
      <c r="L130" s="179" t="n"/>
      <c r="M130" s="179" t="n"/>
      <c r="N130" s="179" t="n"/>
      <c r="O130" s="179" t="n"/>
      <c r="P130" s="179" t="n"/>
      <c r="Q130" s="179" t="n"/>
      <c r="R130" s="179" t="n"/>
      <c r="S130" s="179" t="n"/>
      <c r="T130" s="179" t="n"/>
      <c r="U130" s="179" t="n"/>
      <c r="V130" s="179" t="n"/>
      <c r="W130" s="179" t="n"/>
      <c r="X130" s="179" t="n"/>
      <c r="Y130" s="179" t="n"/>
      <c r="Z130" s="179" t="n"/>
      <c r="AA130" s="179" t="n"/>
      <c r="AB130" s="179" t="n"/>
      <c r="AC130" s="179" t="n"/>
      <c r="AD130" s="179" t="n"/>
      <c r="AE130" s="179" t="n"/>
      <c r="AF130" s="179" t="n"/>
      <c r="AG130" s="179" t="n"/>
      <c r="AH130" s="179" t="n"/>
      <c r="AI130" s="179" t="n"/>
      <c r="AJ130" s="179" t="n"/>
      <c r="AK130" s="179" t="n"/>
      <c r="AL130" s="179" t="n"/>
      <c r="AM130" s="179" t="n"/>
      <c r="AN130" s="179" t="n"/>
      <c r="AO130" s="179" t="n"/>
      <c r="AP130" s="179" t="n"/>
      <c r="AQ130" s="179" t="n"/>
      <c r="AR130" s="179" t="n"/>
      <c r="AS130" s="179" t="n"/>
      <c r="AT130" s="179" t="n"/>
      <c r="AU130" s="179" t="n"/>
      <c r="AV130" s="179" t="n"/>
      <c r="AW130" s="179" t="n"/>
      <c r="AX130" s="179" t="n"/>
      <c r="AY130" s="179" t="n"/>
      <c r="AZ130" s="179" t="n"/>
      <c r="BA130" s="179" t="n"/>
      <c r="BB130" s="179" t="n"/>
      <c r="BC130" s="179" t="n"/>
      <c r="BD130" s="179" t="n"/>
      <c r="BE130" s="179" t="n"/>
      <c r="BF130" s="179" t="n"/>
      <c r="BG130" s="179" t="n"/>
      <c r="BH130" s="179" t="n"/>
      <c r="BI130" s="179" t="n"/>
      <c r="BJ130" s="179" t="n"/>
      <c r="BK130" s="179" t="n"/>
      <c r="BL130" s="179" t="n"/>
      <c r="BM130" s="179" t="n"/>
      <c r="BN130" s="179" t="n"/>
      <c r="BO130" s="179" t="n"/>
      <c r="BP130" s="179" t="n"/>
      <c r="BQ130" s="179" t="n"/>
      <c r="BR130" s="179" t="n"/>
      <c r="BS130" s="179" t="n"/>
      <c r="BT130" s="179" t="n"/>
      <c r="BU130" s="179" t="n"/>
      <c r="BV130" s="179" t="n"/>
      <c r="BW130" s="179" t="n"/>
      <c r="BX130" s="179" t="n"/>
      <c r="BY130" s="179" t="n"/>
      <c r="BZ130" s="179" t="n"/>
      <c r="CA130" s="179" t="n"/>
      <c r="CB130" s="179" t="n"/>
      <c r="CC130" s="179" t="n"/>
      <c r="CD130" s="179" t="n"/>
      <c r="CE130" s="179" t="n"/>
      <c r="CF130" s="179" t="n"/>
      <c r="CG130" s="179" t="n"/>
      <c r="CH130" s="179" t="n"/>
      <c r="CI130" s="179" t="n"/>
      <c r="CJ130" s="179" t="n"/>
      <c r="CK130" s="179" t="n"/>
      <c r="CL130" s="179" t="n"/>
      <c r="CM130" s="179" t="n"/>
      <c r="CN130" s="179" t="n"/>
      <c r="CO130" s="179" t="n"/>
      <c r="CP130" s="179" t="n"/>
      <c r="CQ130" s="179" t="n"/>
      <c r="CR130" s="179" t="n"/>
      <c r="CS130" s="179" t="n"/>
      <c r="CT130" s="179" t="n"/>
      <c r="CU130" s="179" t="n"/>
      <c r="CV130" s="179" t="n"/>
      <c r="CW130" s="179" t="n"/>
      <c r="CX130" s="179" t="n"/>
      <c r="CY130" s="179" t="n"/>
      <c r="CZ130" s="179" t="n"/>
      <c r="DA130" s="179" t="n"/>
      <c r="DB130" s="179" t="n"/>
      <c r="DC130" s="179" t="n"/>
      <c r="DD130" s="179" t="n"/>
      <c r="DE130" s="179" t="n"/>
      <c r="DF130" s="179" t="n"/>
      <c r="DG130" s="179" t="n"/>
      <c r="DH130" s="179" t="n"/>
      <c r="DI130" s="179" t="n"/>
      <c r="DJ130" s="179" t="n"/>
      <c r="DK130" s="179" t="n"/>
      <c r="DL130" s="179" t="n"/>
      <c r="DM130" s="179" t="n"/>
      <c r="DN130" s="179" t="n"/>
      <c r="DO130" s="179" t="n"/>
      <c r="DP130" s="179" t="n"/>
      <c r="DQ130" s="179" t="n"/>
      <c r="DR130" s="179" t="n"/>
      <c r="DS130" s="179" t="n"/>
      <c r="DT130" s="179" t="n"/>
      <c r="DU130" s="179" t="n"/>
      <c r="DV130" s="179" t="n"/>
      <c r="DW130" s="179" t="n"/>
      <c r="DX130" s="179" t="n"/>
      <c r="DY130" s="179" t="n"/>
      <c r="DZ130" s="179" t="n"/>
      <c r="EA130" s="179" t="n"/>
      <c r="EB130" s="179" t="n"/>
      <c r="EC130" s="179" t="n"/>
      <c r="ED130" s="179" t="n"/>
      <c r="EE130" s="179" t="n"/>
      <c r="EF130" s="179" t="n"/>
      <c r="EG130" s="179" t="n"/>
      <c r="EH130" s="179" t="n"/>
      <c r="EI130" s="179" t="n"/>
      <c r="EJ130" s="179" t="n"/>
      <c r="EK130" s="179" t="n"/>
      <c r="EL130" s="179" t="n"/>
      <c r="EM130" s="179" t="n"/>
      <c r="EN130" s="179" t="n"/>
      <c r="EO130" s="179" t="n"/>
      <c r="EP130" s="179" t="n"/>
      <c r="EQ130" s="179" t="n"/>
      <c r="ER130" s="179" t="n"/>
      <c r="ES130" s="179" t="n"/>
      <c r="ET130" s="179" t="n"/>
      <c r="EU130" s="179" t="n"/>
      <c r="EV130" s="179" t="n"/>
      <c r="EW130" s="179" t="n"/>
      <c r="EX130" s="179" t="n"/>
      <c r="EY130" s="179" t="n"/>
      <c r="EZ130" s="179" t="n"/>
      <c r="FA130" s="179" t="n"/>
      <c r="FB130" s="179" t="n"/>
      <c r="FC130" s="179" t="n"/>
      <c r="FD130" s="179" t="n"/>
      <c r="FE130" s="179" t="n"/>
      <c r="FF130" s="179" t="n"/>
      <c r="FG130" s="179" t="n"/>
      <c r="FH130" s="179" t="n"/>
      <c r="FI130" s="179" t="n"/>
      <c r="FJ130" s="179" t="n"/>
      <c r="FK130" s="179" t="n"/>
      <c r="FL130" s="179" t="n"/>
      <c r="FM130" s="179" t="n"/>
      <c r="FN130" s="179" t="n"/>
      <c r="FO130" s="179" t="n"/>
      <c r="FP130" s="179" t="n"/>
      <c r="FQ130" s="179" t="n"/>
      <c r="FR130" s="179" t="n"/>
      <c r="FS130" s="179" t="n"/>
      <c r="FT130" s="179" t="n"/>
      <c r="FU130" s="179" t="n"/>
      <c r="FV130" s="179" t="n"/>
      <c r="FW130" s="179" t="n"/>
      <c r="FX130" s="179" t="n"/>
      <c r="FY130" s="179" t="n"/>
      <c r="FZ130" s="179" t="n"/>
      <c r="GA130" s="179" t="n"/>
      <c r="GB130" s="179" t="n"/>
      <c r="GC130" s="179" t="n"/>
      <c r="GD130" s="179" t="n"/>
      <c r="GE130" s="179" t="n"/>
      <c r="GF130" s="179" t="n"/>
      <c r="GG130" s="179" t="n"/>
      <c r="GH130" s="179" t="n"/>
      <c r="GI130" s="179" t="n"/>
      <c r="GJ130" s="179" t="n"/>
      <c r="GK130" s="179" t="n"/>
      <c r="GL130" s="179" t="n"/>
      <c r="GM130" s="179" t="n"/>
      <c r="GN130" s="179" t="n"/>
      <c r="GO130" s="179" t="n"/>
      <c r="GP130" s="179" t="n"/>
      <c r="GQ130" s="179" t="n"/>
      <c r="GR130" s="179" t="n"/>
      <c r="GS130" s="179" t="n"/>
      <c r="GT130" s="179" t="n"/>
      <c r="GU130" s="179" t="n"/>
      <c r="GV130" s="179" t="n"/>
      <c r="GW130" s="179" t="n"/>
      <c r="GX130" s="179" t="n"/>
      <c r="GY130" s="179" t="n"/>
      <c r="GZ130" s="179" t="n"/>
      <c r="HA130" s="179" t="n"/>
      <c r="HB130" s="179" t="n"/>
      <c r="HC130" s="179" t="n"/>
      <c r="HD130" s="179" t="n"/>
      <c r="HE130" s="179" t="n"/>
      <c r="HF130" s="179" t="n"/>
      <c r="HG130" s="179" t="n"/>
      <c r="HH130" s="179" t="n"/>
      <c r="HI130" s="179" t="n"/>
      <c r="HJ130" s="179" t="n"/>
      <c r="HK130" s="179" t="n"/>
      <c r="HL130" s="179" t="n"/>
      <c r="HM130" s="179" t="n"/>
      <c r="HN130" s="179" t="n"/>
      <c r="HO130" s="179" t="n"/>
      <c r="HP130" s="179" t="n"/>
      <c r="HQ130" s="179" t="n"/>
      <c r="HR130" s="179" t="n"/>
      <c r="HS130" s="179" t="n"/>
      <c r="HT130" s="179" t="n"/>
      <c r="HU130" s="179" t="n"/>
      <c r="HV130" s="179" t="n"/>
      <c r="HW130" s="179" t="n"/>
      <c r="HX130" s="179" t="n"/>
      <c r="HY130" s="179" t="n"/>
      <c r="HZ130" s="179" t="n"/>
      <c r="IA130" s="179" t="n"/>
      <c r="IB130" s="179" t="n"/>
      <c r="IC130" s="179" t="n"/>
      <c r="ID130" s="179" t="n"/>
      <c r="IE130" s="179" t="n"/>
      <c r="IF130" s="179" t="n"/>
      <c r="IG130" s="179" t="n"/>
      <c r="IH130" s="179" t="n"/>
      <c r="II130" s="179" t="n"/>
      <c r="IJ130" s="179" t="n"/>
      <c r="IK130" s="179" t="n"/>
      <c r="IL130" s="179" t="n"/>
      <c r="IM130" s="179" t="n"/>
      <c r="IN130" s="179" t="n"/>
      <c r="IO130" s="179" t="n"/>
      <c r="IP130" s="179" t="n"/>
      <c r="IQ130" s="179" t="n"/>
      <c r="IR130" s="179" t="n"/>
      <c r="IS130" s="179" t="n"/>
      <c r="IT130" s="179" t="n"/>
      <c r="IU130" s="179" t="n"/>
      <c r="IV130" s="179" t="n"/>
    </row>
    <row r="131" hidden="1" ht="16.5" customFormat="1" customHeight="1" s="525">
      <c r="A131" s="179" t="n"/>
      <c r="B131" s="128" t="n"/>
      <c r="C131" s="128" t="n"/>
      <c r="D131" s="128" t="n"/>
      <c r="E131" s="128" t="n"/>
      <c r="F131" s="179" t="n"/>
      <c r="G131" s="179" t="n"/>
      <c r="H131" s="179" t="n"/>
      <c r="I131" s="179" t="n"/>
      <c r="J131" s="182" t="n"/>
    </row>
    <row r="132" hidden="1" ht="16" customHeight="1" s="486"/>
    <row r="133" hidden="1" ht="16" customHeight="1" s="486"/>
    <row r="134" hidden="1" ht="16" customHeight="1" s="486"/>
    <row r="135" hidden="1" ht="16" customHeight="1" s="486"/>
    <row r="136" hidden="1" ht="16" customHeight="1" s="486"/>
    <row r="137" hidden="1" ht="16" customHeight="1" s="486"/>
    <row r="138" hidden="1" ht="16" customHeight="1" s="486"/>
    <row r="139" hidden="1" ht="16" customHeight="1" s="486"/>
    <row r="140" hidden="1" ht="16" customHeight="1" s="486"/>
    <row r="141" hidden="1" ht="16" customHeight="1" s="486"/>
    <row r="142" hidden="1" ht="16" customHeight="1" s="486"/>
    <row r="143" hidden="1" ht="16" customHeight="1" s="486"/>
    <row r="144" hidden="1" ht="16" customHeight="1" s="486"/>
    <row r="145" hidden="1" ht="16" customHeight="1" s="486"/>
    <row r="146" hidden="1" ht="16" customHeight="1" s="486"/>
    <row r="147" hidden="1" ht="16" customHeight="1" s="486"/>
    <row r="148" hidden="1" ht="16" customHeight="1" s="486"/>
    <row r="149" hidden="1" ht="16" customHeight="1" s="486"/>
    <row r="150" hidden="1" ht="16" customHeight="1" s="486"/>
    <row r="151" hidden="1" ht="16" customHeight="1" s="486"/>
    <row r="152" hidden="1" ht="16" customHeight="1" s="486"/>
    <row r="153" hidden="1" ht="16" customHeight="1" s="486"/>
    <row r="154" hidden="1" ht="16" customHeight="1" s="486"/>
    <row r="155" hidden="1" ht="16" customHeight="1" s="486"/>
    <row r="156" hidden="1" ht="16" customHeight="1" s="486"/>
    <row r="157" hidden="1" ht="16" customHeight="1" s="486"/>
    <row r="158" hidden="1" ht="16" customHeight="1" s="486"/>
    <row r="159" hidden="1" ht="16" customHeight="1" s="486"/>
    <row r="160" hidden="1" ht="16" customHeight="1" s="486"/>
    <row r="161" hidden="1" ht="16" customHeight="1" s="486"/>
    <row r="162" hidden="1" ht="16" customHeight="1" s="486"/>
    <row r="163" hidden="1" ht="16" customHeight="1" s="486"/>
    <row r="164" hidden="1" ht="16" customHeight="1" s="486"/>
    <row r="165" hidden="1" ht="16" customHeight="1" s="486"/>
    <row r="166" hidden="1" ht="16" customHeight="1" s="486"/>
    <row r="167" hidden="1" ht="16" customHeight="1" s="486"/>
    <row r="168" hidden="1" ht="16" customHeight="1" s="486"/>
    <row r="169" hidden="1" ht="16" customHeight="1" s="486"/>
    <row r="170" hidden="1" ht="16" customHeight="1" s="486"/>
    <row r="171" hidden="1" ht="16" customHeight="1" s="486"/>
    <row r="172" hidden="1" ht="16" customHeight="1" s="486"/>
    <row r="173" hidden="1" ht="16" customHeight="1" s="486"/>
    <row r="174" hidden="1" ht="16" customHeight="1" s="486"/>
    <row r="175" hidden="1" ht="16" customHeight="1" s="486"/>
    <row r="176" hidden="1" ht="16" customHeight="1" s="486"/>
    <row r="177" hidden="1" ht="16" customHeight="1" s="486"/>
    <row r="178" hidden="1" ht="16" customHeight="1" s="486"/>
    <row r="179" hidden="1" ht="16" customHeight="1" s="486"/>
    <row r="180" hidden="1" ht="16" customHeight="1" s="486"/>
    <row r="181" hidden="1" ht="16" customHeight="1" s="486"/>
    <row r="182" hidden="1" ht="16" customHeight="1" s="486"/>
    <row r="183" hidden="1" ht="16" customHeight="1" s="486"/>
    <row r="184" hidden="1" ht="16" customHeight="1" s="486"/>
    <row r="185" hidden="1" ht="16" customHeight="1" s="486"/>
    <row r="186" hidden="1" ht="16" customHeight="1" s="486"/>
    <row r="187" hidden="1" ht="16" customHeight="1" s="486"/>
    <row r="188" hidden="1" ht="16" customHeight="1" s="486"/>
    <row r="189" hidden="1" ht="16" customHeight="1" s="486"/>
    <row r="190" hidden="1" ht="16" customHeight="1" s="486"/>
    <row r="191" hidden="1" ht="16" customHeight="1" s="486"/>
    <row r="192" hidden="1" ht="16" customHeight="1" s="486"/>
    <row r="193" hidden="1" ht="16" customHeight="1" s="486"/>
    <row r="194" hidden="1" ht="16" customHeight="1" s="486"/>
    <row r="195" hidden="1" ht="16" customHeight="1" s="486"/>
    <row r="196" hidden="1" ht="16" customHeight="1" s="486"/>
    <row r="197" hidden="1" ht="16" customHeight="1" s="486"/>
    <row r="198" hidden="1" ht="16" customHeight="1" s="486"/>
    <row r="199" hidden="1" ht="16" customHeight="1" s="486"/>
    <row r="200" hidden="1" ht="16" customHeight="1" s="486"/>
    <row r="201" hidden="1" ht="16" customHeight="1" s="486"/>
    <row r="202" hidden="1" ht="16" customHeight="1" s="486"/>
    <row r="203" hidden="1" ht="16" customHeight="1" s="486"/>
    <row r="204" hidden="1" ht="16" customHeight="1" s="486"/>
    <row r="205" hidden="1" ht="16" customHeight="1" s="486"/>
    <row r="206" hidden="1" ht="16" customHeight="1" s="486"/>
    <row r="207" hidden="1" ht="16" customHeight="1" s="486"/>
    <row r="208" hidden="1" ht="16" customHeight="1" s="486"/>
    <row r="209" hidden="1" ht="16" customHeight="1" s="486"/>
    <row r="210" hidden="1" ht="16" customHeight="1" s="486"/>
    <row r="211" hidden="1" ht="16" customHeight="1" s="486"/>
    <row r="212" hidden="1" ht="16" customHeight="1" s="486"/>
    <row r="213" hidden="1" ht="16" customHeight="1" s="486"/>
    <row r="214" hidden="1" ht="16" customHeight="1" s="486"/>
    <row r="215" hidden="1" ht="16" customHeight="1" s="486"/>
    <row r="216" hidden="1" ht="16" customHeight="1" s="486"/>
    <row r="217" hidden="1" ht="16" customHeight="1" s="486"/>
    <row r="218" hidden="1" ht="16" customHeight="1" s="486"/>
    <row r="219" hidden="1" ht="16" customHeight="1" s="486"/>
    <row r="220" hidden="1" ht="16" customHeight="1" s="486"/>
    <row r="221" hidden="1" ht="16" customHeight="1" s="486"/>
    <row r="222" hidden="1" ht="16" customHeight="1" s="486"/>
    <row r="223" hidden="1" ht="16" customHeight="1" s="486"/>
    <row r="224" hidden="1" ht="16" customHeight="1" s="486"/>
    <row r="225" hidden="1" ht="16" customHeight="1" s="486"/>
    <row r="226" hidden="1" ht="16" customHeight="1" s="486"/>
    <row r="227" hidden="1" ht="16" customHeight="1" s="486"/>
    <row r="228" hidden="1" ht="16" customHeight="1" s="486"/>
    <row r="229" hidden="1" ht="16" customHeight="1" s="486"/>
    <row r="230" hidden="1" ht="16" customHeight="1" s="486"/>
    <row r="231" hidden="1" ht="16" customHeight="1" s="486"/>
    <row r="232" hidden="1" ht="16" customHeight="1" s="486"/>
    <row r="233" hidden="1" ht="16" customHeight="1" s="486"/>
    <row r="234" hidden="1" ht="16" customHeight="1" s="486"/>
    <row r="235" hidden="1" ht="16" customHeight="1" s="486"/>
    <row r="236" hidden="1" ht="16" customHeight="1" s="486"/>
    <row r="237" hidden="1" ht="16" customHeight="1" s="486"/>
    <row r="238" hidden="1" ht="16" customHeight="1" s="486"/>
    <row r="239" hidden="1" ht="16" customHeight="1" s="486"/>
    <row r="240" hidden="1" ht="16" customHeight="1" s="486"/>
    <row r="241" hidden="1" ht="16" customHeight="1" s="486"/>
    <row r="242" hidden="1" ht="16" customHeight="1" s="486"/>
    <row r="243" hidden="1" ht="16" customHeight="1" s="486"/>
    <row r="244" hidden="1" ht="16" customHeight="1" s="486"/>
    <row r="245" hidden="1" ht="16" customHeight="1" s="486"/>
    <row r="246" hidden="1" ht="16" customHeight="1" s="486"/>
    <row r="247" hidden="1" ht="16" customHeight="1" s="486"/>
    <row r="248" hidden="1" ht="16" customHeight="1" s="486"/>
    <row r="249" hidden="1" ht="16" customHeight="1" s="486"/>
    <row r="250" hidden="1" ht="16" customHeight="1" s="486"/>
    <row r="251" hidden="1" ht="16" customHeight="1" s="486"/>
    <row r="252" hidden="1" ht="16" customHeight="1" s="486"/>
    <row r="253" hidden="1" ht="16" customHeight="1" s="486"/>
    <row r="254" hidden="1" ht="16" customHeight="1" s="486"/>
    <row r="255" hidden="1" ht="16" customHeight="1" s="486"/>
    <row r="256" hidden="1" ht="16" customHeight="1" s="486"/>
    <row r="257" hidden="1" ht="16" customHeight="1" s="486"/>
    <row r="258" hidden="1" ht="16" customHeight="1" s="486"/>
    <row r="259" hidden="1" ht="16" customHeight="1" s="486"/>
    <row r="260" hidden="1" ht="16" customHeight="1" s="486"/>
    <row r="261" hidden="1" ht="16" customHeight="1" s="486"/>
    <row r="262" hidden="1" ht="16" customHeight="1" s="486"/>
    <row r="263" hidden="1" ht="16" customHeight="1" s="486"/>
    <row r="264" hidden="1" ht="16" customHeight="1" s="486"/>
    <row r="265" hidden="1" ht="16" customHeight="1" s="486"/>
    <row r="266" hidden="1" ht="16" customHeight="1" s="486"/>
    <row r="267" hidden="1" ht="16" customHeight="1" s="486"/>
    <row r="268" hidden="1" ht="16" customHeight="1" s="486"/>
    <row r="269" hidden="1" ht="16" customHeight="1" s="486"/>
    <row r="270" hidden="1" ht="16" customHeight="1" s="486"/>
    <row r="271" hidden="1" ht="16" customHeight="1" s="486"/>
    <row r="272" hidden="1" ht="16" customHeight="1" s="486"/>
    <row r="273" hidden="1" ht="16" customHeight="1" s="486"/>
    <row r="274" hidden="1" ht="16" customHeight="1" s="486"/>
    <row r="275" hidden="1" ht="16" customHeight="1" s="486"/>
    <row r="276" hidden="1" ht="16" customHeight="1" s="486"/>
    <row r="277" hidden="1" ht="16" customHeight="1" s="486"/>
    <row r="278" hidden="1" ht="16" customHeight="1" s="486"/>
    <row r="279" hidden="1" ht="16" customHeight="1" s="486"/>
    <row r="280" hidden="1" ht="16" customHeight="1" s="486"/>
    <row r="281" hidden="1" ht="16" customHeight="1" s="486"/>
    <row r="282" hidden="1" ht="16" customHeight="1" s="486"/>
    <row r="283" hidden="1" ht="16" customHeight="1" s="486"/>
    <row r="284" hidden="1" ht="16" customHeight="1" s="486"/>
    <row r="285" hidden="1" ht="16" customHeight="1" s="486"/>
    <row r="286" hidden="1" ht="16" customHeight="1" s="486"/>
    <row r="287" hidden="1" ht="16" customHeight="1" s="486"/>
    <row r="288" hidden="1" ht="16" customHeight="1" s="486"/>
    <row r="289" hidden="1" ht="16" customHeight="1" s="486"/>
    <row r="290" hidden="1" ht="16" customHeight="1" s="486"/>
    <row r="291" hidden="1" ht="16" customHeight="1" s="486"/>
    <row r="292" hidden="1" ht="16" customHeight="1" s="486"/>
    <row r="293" hidden="1" ht="16" customHeight="1" s="486"/>
    <row r="294" hidden="1" ht="16" customHeight="1" s="486"/>
    <row r="295" hidden="1" ht="16" customHeight="1" s="486"/>
    <row r="296" hidden="1" ht="16" customHeight="1" s="486"/>
    <row r="297" hidden="1" ht="16" customHeight="1" s="486"/>
    <row r="298" hidden="1" ht="16" customHeight="1" s="486"/>
    <row r="299" hidden="1" ht="16" customHeight="1" s="486"/>
    <row r="300" hidden="1" ht="16" customHeight="1" s="486"/>
    <row r="301" hidden="1" ht="16" customHeight="1" s="486"/>
    <row r="302" hidden="1" ht="16" customHeight="1" s="486"/>
    <row r="303" hidden="1" ht="16" customHeight="1" s="486"/>
    <row r="304" hidden="1" ht="16" customHeight="1" s="486"/>
    <row r="305" hidden="1" ht="16" customHeight="1" s="486"/>
    <row r="306" hidden="1" ht="16" customHeight="1" s="486"/>
    <row r="307" hidden="1" ht="16" customHeight="1" s="486"/>
    <row r="308" hidden="1" ht="16" customHeight="1" s="486"/>
    <row r="309" hidden="1" ht="16" customHeight="1" s="486"/>
    <row r="310" hidden="1" ht="16" customHeight="1" s="486"/>
    <row r="311" hidden="1" ht="16" customHeight="1" s="486"/>
    <row r="312" hidden="1" ht="16" customHeight="1" s="486"/>
    <row r="313" hidden="1" ht="16" customHeight="1" s="486"/>
    <row r="314" hidden="1" ht="16" customHeight="1" s="486"/>
    <row r="315" hidden="1" ht="16" customHeight="1" s="486"/>
    <row r="316" hidden="1" ht="16" customHeight="1" s="486"/>
    <row r="317" hidden="1" ht="16" customHeight="1" s="486"/>
    <row r="318" hidden="1" ht="16" customHeight="1" s="486"/>
    <row r="319" hidden="1" ht="16" customHeight="1" s="486"/>
    <row r="320" hidden="1" ht="16" customHeight="1" s="486"/>
    <row r="321" hidden="1" ht="16" customHeight="1" s="486"/>
    <row r="322" hidden="1" ht="16" customHeight="1" s="486"/>
    <row r="323" hidden="1" ht="16" customHeight="1" s="486"/>
    <row r="324" hidden="1" ht="16" customHeight="1" s="486"/>
    <row r="325" hidden="1" ht="16" customHeight="1" s="486"/>
    <row r="326" hidden="1" ht="16" customHeight="1" s="486"/>
    <row r="327" hidden="1" ht="16" customHeight="1" s="486"/>
    <row r="328" hidden="1" ht="16" customHeight="1" s="486"/>
    <row r="329" hidden="1" ht="16" customHeight="1" s="486"/>
    <row r="330" hidden="1" ht="16" customHeight="1" s="486"/>
    <row r="331" hidden="1" ht="16" customHeight="1" s="486"/>
    <row r="332" hidden="1" ht="16" customHeight="1" s="486"/>
    <row r="333" hidden="1" ht="16" customHeight="1" s="486"/>
    <row r="334" hidden="1" ht="16" customHeight="1" s="486"/>
    <row r="335" hidden="1" ht="16" customHeight="1" s="486"/>
    <row r="336" hidden="1" ht="16" customHeight="1" s="486"/>
    <row r="337" hidden="1" ht="16" customHeight="1" s="486"/>
    <row r="338" hidden="1" ht="16" customHeight="1" s="486"/>
    <row r="339" hidden="1" ht="16" customHeight="1" s="486"/>
    <row r="340" hidden="1" ht="16" customHeight="1" s="486"/>
    <row r="341" hidden="1" ht="16" customHeight="1" s="486"/>
    <row r="342" hidden="1" ht="16" customHeight="1" s="486"/>
    <row r="343" hidden="1" ht="16" customHeight="1" s="486"/>
    <row r="344" hidden="1" ht="16" customHeight="1" s="486"/>
    <row r="345" hidden="1" ht="16" customHeight="1" s="486"/>
    <row r="346" hidden="1" ht="16" customHeight="1" s="486"/>
    <row r="347" hidden="1" ht="16" customHeight="1" s="486"/>
    <row r="348" hidden="1" ht="16" customHeight="1" s="486"/>
    <row r="349" hidden="1" ht="16" customHeight="1" s="486"/>
    <row r="350" hidden="1" ht="16" customHeight="1" s="486"/>
    <row r="351" hidden="1" ht="16" customHeight="1" s="486"/>
    <row r="352" hidden="1" ht="16" customHeight="1" s="486"/>
    <row r="353" hidden="1" ht="16" customHeight="1" s="486"/>
    <row r="354" hidden="1" ht="16" customHeight="1" s="486"/>
    <row r="355" hidden="1" ht="16" customHeight="1" s="486"/>
    <row r="356" hidden="1" ht="16" customHeight="1" s="486"/>
    <row r="357" hidden="1" ht="16" customHeight="1" s="486"/>
    <row r="358" hidden="1" ht="16" customHeight="1" s="486"/>
    <row r="359" hidden="1" ht="16" customHeight="1" s="486"/>
    <row r="360" hidden="1" ht="16" customHeight="1" s="486"/>
    <row r="361" hidden="1" ht="16" customHeight="1" s="486"/>
    <row r="362" hidden="1" ht="16" customHeight="1" s="486"/>
    <row r="363" hidden="1" ht="16" customHeight="1" s="486"/>
    <row r="364" hidden="1" ht="16" customHeight="1" s="486"/>
    <row r="365" hidden="1" ht="16" customHeight="1" s="486"/>
    <row r="366" hidden="1" ht="16" customHeight="1" s="486"/>
    <row r="367" hidden="1" ht="16" customHeight="1" s="486"/>
    <row r="368" hidden="1" ht="16" customHeight="1" s="486"/>
    <row r="369" hidden="1" ht="16" customHeight="1" s="486"/>
    <row r="370" hidden="1" ht="16" customHeight="1" s="486"/>
    <row r="371" hidden="1" ht="16" customHeight="1" s="486"/>
    <row r="372" hidden="1" ht="16" customHeight="1" s="486"/>
    <row r="373" hidden="1" ht="16" customHeight="1" s="486"/>
    <row r="374" hidden="1" ht="16" customHeight="1" s="486"/>
    <row r="375" hidden="1" ht="16" customHeight="1" s="486"/>
    <row r="376" hidden="1" ht="16" customHeight="1" s="486"/>
    <row r="377" hidden="1" ht="16" customHeight="1" s="486"/>
    <row r="378" hidden="1" ht="16" customHeight="1" s="486"/>
    <row r="379" hidden="1" ht="16" customHeight="1" s="486"/>
    <row r="380" hidden="1" ht="16" customHeight="1" s="486"/>
    <row r="381" hidden="1" ht="16" customHeight="1" s="486"/>
    <row r="382" hidden="1" ht="16" customHeight="1" s="486"/>
    <row r="383" hidden="1" ht="16" customHeight="1" s="486"/>
    <row r="384" hidden="1" ht="16" customHeight="1" s="486"/>
    <row r="385" hidden="1" ht="16" customHeight="1" s="486"/>
    <row r="386" hidden="1" ht="16" customHeight="1" s="486"/>
    <row r="387" hidden="1" ht="16" customHeight="1" s="486"/>
    <row r="388" hidden="1" ht="16" customHeight="1" s="486"/>
    <row r="389" hidden="1" ht="16" customHeight="1" s="486"/>
    <row r="390" hidden="1" ht="16" customHeight="1" s="486"/>
    <row r="391" hidden="1" ht="16" customHeight="1" s="486"/>
    <row r="392" hidden="1" ht="16" customHeight="1" s="486"/>
    <row r="393" hidden="1" ht="16" customHeight="1" s="486"/>
    <row r="394" hidden="1" ht="16" customHeight="1" s="486"/>
    <row r="395" hidden="1" ht="16" customHeight="1" s="486"/>
    <row r="396" hidden="1" ht="16" customHeight="1" s="486"/>
    <row r="397" hidden="1" ht="16" customHeight="1" s="486"/>
    <row r="398" hidden="1" ht="16" customHeight="1" s="486"/>
    <row r="399" hidden="1" ht="16" customHeight="1" s="486"/>
    <row r="400" hidden="1" ht="16" customHeight="1" s="486"/>
    <row r="401" hidden="1" ht="16" customHeight="1" s="486"/>
    <row r="402" hidden="1" ht="16" customHeight="1" s="486"/>
    <row r="403" hidden="1" ht="16" customHeight="1" s="486"/>
    <row r="404" hidden="1" ht="16" customHeight="1" s="486"/>
    <row r="405" hidden="1" ht="16" customHeight="1" s="486"/>
    <row r="406" hidden="1" ht="16" customHeight="1" s="486"/>
    <row r="407" hidden="1" ht="16" customHeight="1" s="486"/>
    <row r="408" hidden="1" ht="16" customHeight="1" s="486"/>
    <row r="409" hidden="1" ht="16" customHeight="1" s="486"/>
    <row r="410" hidden="1" ht="16" customHeight="1" s="486"/>
    <row r="411" hidden="1" ht="16" customHeight="1" s="486"/>
    <row r="412" hidden="1" ht="16" customHeight="1" s="486"/>
    <row r="413" hidden="1" ht="16" customHeight="1" s="486"/>
    <row r="414" hidden="1" ht="16" customHeight="1" s="486"/>
    <row r="415" hidden="1" ht="16" customHeight="1" s="486"/>
    <row r="416" hidden="1" ht="16" customHeight="1" s="486"/>
    <row r="417" hidden="1" ht="16" customHeight="1" s="486"/>
    <row r="418" hidden="1" ht="16" customHeight="1" s="486"/>
    <row r="419" hidden="1" ht="16" customHeight="1" s="486"/>
    <row r="420" hidden="1" ht="16" customHeight="1" s="486"/>
    <row r="421" hidden="1" ht="16" customHeight="1" s="486"/>
    <row r="422" hidden="1" ht="16" customHeight="1" s="486"/>
    <row r="423" hidden="1" ht="16" customHeight="1" s="486"/>
    <row r="424" hidden="1" ht="16" customHeight="1" s="486"/>
    <row r="425" hidden="1" ht="16" customHeight="1" s="486"/>
    <row r="426" hidden="1" ht="16" customHeight="1" s="486"/>
    <row r="427" hidden="1" ht="16" customHeight="1" s="486"/>
    <row r="428" hidden="1" ht="16" customHeight="1" s="486"/>
    <row r="429" hidden="1" ht="16" customHeight="1" s="486"/>
    <row r="430" hidden="1" ht="16" customHeight="1" s="486"/>
    <row r="431" hidden="1" ht="16" customHeight="1" s="486"/>
    <row r="432" hidden="1" ht="16" customHeight="1" s="486"/>
    <row r="433" hidden="1" ht="16" customHeight="1" s="486"/>
    <row r="434" hidden="1" ht="16" customHeight="1" s="486"/>
    <row r="435" hidden="1" ht="16" customHeight="1" s="486"/>
    <row r="436" hidden="1" ht="16" customHeight="1" s="486"/>
    <row r="437" hidden="1" ht="16" customHeight="1" s="486"/>
    <row r="438" hidden="1" ht="16" customHeight="1" s="486"/>
    <row r="439" hidden="1" ht="16" customHeight="1" s="486"/>
    <row r="440" hidden="1" ht="16" customHeight="1" s="486"/>
    <row r="441" hidden="1" ht="16" customHeight="1" s="486"/>
    <row r="442" hidden="1" ht="16" customHeight="1" s="486"/>
    <row r="443" hidden="1" ht="16" customHeight="1" s="486"/>
    <row r="444" hidden="1" ht="16" customHeight="1" s="486"/>
    <row r="445" hidden="1" ht="16" customHeight="1" s="486"/>
    <row r="446" hidden="1" ht="16" customHeight="1" s="486"/>
    <row r="447" hidden="1" ht="16" customHeight="1" s="486"/>
    <row r="448" hidden="1" ht="16" customHeight="1" s="486"/>
    <row r="449" hidden="1" ht="16" customHeight="1" s="486"/>
    <row r="450" hidden="1" ht="16" customHeight="1" s="486"/>
    <row r="451" hidden="1" ht="16" customHeight="1" s="486"/>
    <row r="452" hidden="1" ht="16" customHeight="1" s="486"/>
    <row r="453" hidden="1" ht="16" customHeight="1" s="486"/>
    <row r="454" hidden="1" ht="16" customHeight="1" s="486"/>
    <row r="455" hidden="1" ht="16" customHeight="1" s="486"/>
    <row r="456" hidden="1" ht="16" customHeight="1" s="486"/>
    <row r="457" hidden="1" ht="16" customHeight="1" s="486"/>
    <row r="458" hidden="1" ht="16" customHeight="1" s="486"/>
    <row r="459" hidden="1" ht="16" customHeight="1" s="486"/>
    <row r="460" hidden="1" ht="16" customHeight="1" s="486"/>
    <row r="461" hidden="1" ht="16" customHeight="1" s="486"/>
    <row r="462" hidden="1" ht="16" customHeight="1" s="486"/>
    <row r="463" hidden="1" ht="16" customHeight="1" s="486"/>
    <row r="464" hidden="1" ht="16" customHeight="1" s="486"/>
    <row r="465" hidden="1" ht="16" customHeight="1" s="486"/>
    <row r="466" hidden="1" ht="16" customHeight="1" s="486"/>
    <row r="467" hidden="1" ht="16" customHeight="1" s="486"/>
    <row r="468" hidden="1" ht="16" customHeight="1" s="486"/>
    <row r="469" hidden="1" ht="16" customHeight="1" s="486"/>
    <row r="470" hidden="1" ht="16" customHeight="1" s="486"/>
    <row r="471" hidden="1" ht="16" customHeight="1" s="486"/>
    <row r="472" hidden="1" ht="16" customHeight="1" s="486"/>
    <row r="473" hidden="1" ht="16" customHeight="1" s="486"/>
    <row r="474" hidden="1" ht="16" customHeight="1" s="486"/>
    <row r="475" hidden="1" ht="16" customHeight="1" s="486"/>
    <row r="476" hidden="1" ht="16" customHeight="1" s="486"/>
    <row r="477" hidden="1" ht="16" customHeight="1" s="486"/>
    <row r="478" hidden="1" ht="16" customHeight="1" s="486"/>
    <row r="479" hidden="1" ht="16" customHeight="1" s="486"/>
    <row r="480" hidden="1" ht="16" customHeight="1" s="486"/>
    <row r="481" hidden="1" ht="16" customHeight="1" s="486"/>
    <row r="482" hidden="1" ht="16" customHeight="1" s="486"/>
    <row r="483" hidden="1" ht="16" customHeight="1" s="486"/>
    <row r="484" hidden="1" ht="16" customHeight="1" s="486"/>
    <row r="485" hidden="1" ht="16" customHeight="1" s="486"/>
    <row r="486" hidden="1" ht="16" customHeight="1" s="486"/>
    <row r="487" hidden="1" ht="16" customHeight="1" s="486"/>
    <row r="488" hidden="1" ht="16" customHeight="1" s="486"/>
    <row r="489" hidden="1" ht="16" customHeight="1" s="486"/>
    <row r="490" hidden="1" ht="16" customHeight="1" s="486"/>
    <row r="491" hidden="1" ht="16" customHeight="1" s="486"/>
    <row r="492" hidden="1" ht="16" customHeight="1" s="486"/>
    <row r="493" hidden="1" ht="16" customHeight="1" s="486"/>
    <row r="494" hidden="1" ht="16" customHeight="1" s="486"/>
    <row r="495" hidden="1" ht="16" customHeight="1" s="486"/>
    <row r="496" hidden="1" ht="16" customHeight="1" s="486"/>
    <row r="497" hidden="1" ht="16" customHeight="1" s="486"/>
    <row r="498" hidden="1" ht="16" customHeight="1" s="486"/>
    <row r="499" hidden="1" ht="16" customHeight="1" s="486"/>
    <row r="500" hidden="1" ht="16" customHeight="1" s="486"/>
    <row r="501" hidden="1" ht="16" customHeight="1" s="486"/>
    <row r="502" hidden="1" ht="16" customHeight="1" s="486"/>
    <row r="503" hidden="1" ht="16" customHeight="1" s="486"/>
    <row r="504" hidden="1" ht="16" customHeight="1" s="486"/>
    <row r="505" hidden="1" ht="16" customHeight="1" s="486"/>
    <row r="506" hidden="1" ht="16" customHeight="1" s="486"/>
    <row r="507" hidden="1" ht="16" customHeight="1" s="486"/>
    <row r="508" hidden="1" ht="16" customHeight="1" s="486"/>
    <row r="509" hidden="1" ht="16" customHeight="1" s="486"/>
    <row r="510" hidden="1" ht="16" customHeight="1" s="486"/>
    <row r="511" hidden="1" ht="16" customHeight="1" s="486"/>
    <row r="512" hidden="1" ht="16" customHeight="1" s="486"/>
    <row r="513" hidden="1" ht="16" customHeight="1" s="486"/>
    <row r="514" hidden="1" ht="16" customHeight="1" s="486"/>
    <row r="515" hidden="1" ht="16" customHeight="1" s="486"/>
    <row r="516" hidden="1" ht="16" customHeight="1" s="486"/>
    <row r="517" hidden="1" ht="16" customHeight="1" s="486"/>
    <row r="518" hidden="1" ht="16" customHeight="1" s="486"/>
    <row r="519" hidden="1" ht="16" customHeight="1" s="486"/>
    <row r="520" hidden="1" ht="16" customHeight="1" s="486"/>
    <row r="521" hidden="1" ht="16" customHeight="1" s="486"/>
    <row r="522" hidden="1" ht="16" customHeight="1" s="486"/>
    <row r="523" hidden="1" ht="16" customHeight="1" s="486"/>
    <row r="524" hidden="1" ht="16" customHeight="1" s="486"/>
    <row r="525" hidden="1" ht="16" customHeight="1" s="486"/>
    <row r="526" hidden="1" ht="16" customHeight="1" s="486"/>
    <row r="527" hidden="1" ht="16" customHeight="1" s="486"/>
    <row r="528" hidden="1" ht="16" customHeight="1" s="486"/>
    <row r="529" hidden="1" ht="16" customHeight="1" s="486"/>
    <row r="530" hidden="1" ht="16" customHeight="1" s="486"/>
    <row r="531" hidden="1" ht="16" customHeight="1" s="486"/>
    <row r="532" hidden="1" ht="16" customHeight="1" s="486"/>
    <row r="533" hidden="1" ht="16" customHeight="1" s="486"/>
    <row r="534" hidden="1" ht="16" customHeight="1" s="486"/>
    <row r="535" hidden="1" ht="16" customHeight="1" s="486"/>
    <row r="536" hidden="1" ht="16" customHeight="1" s="486"/>
    <row r="537" hidden="1" ht="16" customHeight="1" s="486"/>
    <row r="538" hidden="1" ht="16" customHeight="1" s="486"/>
    <row r="539" hidden="1" ht="16" customHeight="1" s="486"/>
    <row r="540" hidden="1" ht="16" customHeight="1" s="486"/>
    <row r="541" hidden="1" ht="16" customHeight="1" s="486"/>
    <row r="542" hidden="1" ht="16" customHeight="1" s="486"/>
    <row r="543" hidden="1" ht="16" customHeight="1" s="486"/>
    <row r="544" hidden="1" ht="16" customHeight="1" s="486"/>
    <row r="545" hidden="1" ht="16" customHeight="1" s="486"/>
    <row r="546" hidden="1" ht="16" customHeight="1" s="486"/>
    <row r="547" hidden="1" ht="16" customHeight="1" s="486"/>
    <row r="548" hidden="1" ht="16" customHeight="1" s="486"/>
    <row r="549" hidden="1" ht="16" customHeight="1" s="486"/>
    <row r="550" hidden="1" ht="16" customHeight="1" s="486"/>
    <row r="551" hidden="1" ht="16" customHeight="1" s="486"/>
    <row r="552" hidden="1" ht="16" customHeight="1" s="486"/>
    <row r="553" hidden="1" ht="16" customHeight="1" s="486"/>
    <row r="554" hidden="1" ht="16" customHeight="1" s="486"/>
    <row r="555" hidden="1" ht="16" customHeight="1" s="486"/>
    <row r="556" hidden="1" ht="16" customHeight="1" s="486"/>
    <row r="557" hidden="1" ht="16" customHeight="1" s="486"/>
    <row r="558" hidden="1" ht="16" customHeight="1" s="486"/>
    <row r="559" hidden="1" ht="16" customHeight="1" s="486"/>
    <row r="560" hidden="1" ht="16" customHeight="1" s="486"/>
    <row r="561" hidden="1" ht="16" customHeight="1" s="486"/>
    <row r="562" hidden="1" ht="16" customHeight="1" s="486"/>
    <row r="563" hidden="1" ht="16" customHeight="1" s="486"/>
    <row r="564" hidden="1" ht="16" customHeight="1" s="486"/>
    <row r="565" hidden="1" ht="16" customHeight="1" s="486"/>
    <row r="566" hidden="1" ht="16" customHeight="1" s="486"/>
    <row r="567" hidden="1" ht="16" customHeight="1" s="486"/>
    <row r="568" hidden="1" ht="16" customHeight="1" s="486"/>
    <row r="569" hidden="1" ht="16" customHeight="1" s="486"/>
    <row r="570" hidden="1" ht="16" customHeight="1" s="486"/>
    <row r="571" hidden="1" ht="16" customHeight="1" s="486"/>
    <row r="572" hidden="1" ht="16" customHeight="1" s="486"/>
    <row r="573" hidden="1" ht="16" customHeight="1" s="486"/>
    <row r="574" hidden="1" ht="16" customHeight="1" s="486"/>
    <row r="575" hidden="1" ht="16" customHeight="1" s="486"/>
    <row r="576" hidden="1" ht="16" customHeight="1" s="486"/>
    <row r="577" hidden="1" ht="16" customHeight="1" s="486"/>
    <row r="578" hidden="1" ht="16" customHeight="1" s="486"/>
    <row r="579" hidden="1" ht="16" customHeight="1" s="486"/>
    <row r="580" hidden="1" ht="16" customHeight="1" s="486"/>
    <row r="581" hidden="1" ht="16" customHeight="1" s="486"/>
    <row r="582" hidden="1" ht="16" customHeight="1" s="486"/>
    <row r="583" hidden="1" ht="16" customHeight="1" s="486"/>
    <row r="584" hidden="1" ht="16" customHeight="1" s="486"/>
    <row r="585" hidden="1" ht="16" customHeight="1" s="486"/>
    <row r="586" hidden="1" ht="16" customHeight="1" s="486"/>
    <row r="587" hidden="1" ht="16" customHeight="1" s="486"/>
    <row r="588" hidden="1" ht="16" customHeight="1" s="486"/>
    <row r="589" hidden="1" ht="16" customHeight="1" s="486"/>
    <row r="590" hidden="1" ht="16" customHeight="1" s="486"/>
    <row r="591" hidden="1" ht="16" customHeight="1" s="486"/>
    <row r="592" hidden="1" ht="16" customHeight="1" s="486"/>
    <row r="593" hidden="1" ht="16" customHeight="1" s="486"/>
    <row r="594" hidden="1" ht="16" customHeight="1" s="486"/>
    <row r="595" hidden="1" ht="16" customHeight="1" s="486"/>
    <row r="596" hidden="1" ht="16" customHeight="1" s="486"/>
    <row r="597" hidden="1" ht="16" customHeight="1" s="486"/>
    <row r="598" hidden="1" ht="16" customHeight="1" s="486"/>
    <row r="599" hidden="1" ht="16" customHeight="1" s="486"/>
    <row r="600" hidden="1" ht="16" customHeight="1" s="486"/>
    <row r="601" hidden="1" ht="16" customHeight="1" s="486"/>
    <row r="602" hidden="1" ht="16" customHeight="1" s="486"/>
    <row r="603" hidden="1" ht="16" customHeight="1" s="486"/>
    <row r="604" hidden="1" ht="16" customHeight="1" s="486"/>
    <row r="605" hidden="1" ht="16" customHeight="1" s="486"/>
    <row r="606" hidden="1" ht="16" customHeight="1" s="486"/>
    <row r="607" hidden="1" ht="16" customHeight="1" s="486"/>
    <row r="608" hidden="1" ht="16" customHeight="1" s="486"/>
    <row r="609" hidden="1" ht="16" customHeight="1" s="486"/>
    <row r="610" hidden="1" ht="16" customHeight="1" s="486"/>
    <row r="611" hidden="1" ht="16" customHeight="1" s="486"/>
    <row r="612" hidden="1" ht="16" customHeight="1" s="486"/>
    <row r="613" hidden="1" ht="16" customHeight="1" s="486"/>
    <row r="614" hidden="1" ht="16" customHeight="1" s="486"/>
    <row r="615" hidden="1" ht="16" customHeight="1" s="486"/>
    <row r="616" hidden="1" ht="16" customHeight="1" s="486"/>
    <row r="617" hidden="1" ht="16" customHeight="1" s="486"/>
    <row r="618" hidden="1" ht="16" customHeight="1" s="486"/>
    <row r="619" hidden="1" ht="16" customHeight="1" s="486"/>
    <row r="620" hidden="1" ht="16" customHeight="1" s="486"/>
    <row r="621" hidden="1" ht="16" customHeight="1" s="486"/>
    <row r="622" hidden="1" ht="16" customHeight="1" s="486"/>
    <row r="623" hidden="1" ht="16" customHeight="1" s="486"/>
    <row r="624" hidden="1" ht="16" customHeight="1" s="486"/>
    <row r="625" hidden="1" ht="16" customHeight="1" s="486"/>
    <row r="626" hidden="1" ht="16" customHeight="1" s="486"/>
    <row r="627" hidden="1" ht="16" customHeight="1" s="486"/>
    <row r="628" hidden="1" ht="16" customHeight="1" s="486"/>
    <row r="629" hidden="1" ht="16" customHeight="1" s="486"/>
    <row r="630" hidden="1" ht="16" customHeight="1" s="486"/>
    <row r="631" hidden="1" ht="16" customHeight="1" s="486"/>
    <row r="632" hidden="1" ht="16" customHeight="1" s="486"/>
    <row r="633" hidden="1" ht="16" customHeight="1" s="486"/>
    <row r="634" hidden="1" ht="16" customHeight="1" s="486"/>
    <row r="635" hidden="1" ht="16" customHeight="1" s="486"/>
    <row r="636" hidden="1" ht="16" customHeight="1" s="486"/>
    <row r="637" hidden="1" ht="16" customHeight="1" s="486"/>
    <row r="638" hidden="1" ht="16" customHeight="1" s="486"/>
    <row r="639" hidden="1" ht="16" customHeight="1" s="486"/>
    <row r="640" hidden="1" ht="16" customHeight="1" s="486"/>
    <row r="641" hidden="1" ht="16" customHeight="1" s="486"/>
    <row r="642" hidden="1" ht="16" customHeight="1" s="486"/>
    <row r="643" hidden="1" ht="16" customHeight="1" s="486"/>
    <row r="644" hidden="1" ht="16" customHeight="1" s="486"/>
    <row r="645" hidden="1" ht="16" customHeight="1" s="486"/>
    <row r="646" hidden="1" ht="16" customHeight="1" s="486"/>
    <row r="647" hidden="1" ht="16" customHeight="1" s="486"/>
    <row r="648" hidden="1" ht="16" customHeight="1" s="486"/>
    <row r="649" hidden="1" ht="16" customHeight="1" s="486"/>
    <row r="650" hidden="1" ht="16" customHeight="1" s="486"/>
    <row r="651" hidden="1" ht="16" customHeight="1" s="486"/>
    <row r="652" hidden="1" ht="16" customHeight="1" s="486"/>
    <row r="653" hidden="1" ht="16" customHeight="1" s="486"/>
    <row r="654" hidden="1" ht="16" customHeight="1" s="486"/>
    <row r="655" hidden="1" ht="16" customHeight="1" s="486"/>
    <row r="656" hidden="1" ht="16" customHeight="1" s="486"/>
    <row r="657" hidden="1" ht="16" customHeight="1" s="486"/>
    <row r="658" hidden="1" ht="16" customHeight="1" s="486"/>
    <row r="659" hidden="1" ht="16" customHeight="1" s="486"/>
    <row r="660" hidden="1" ht="16" customHeight="1" s="486"/>
    <row r="661" hidden="1" ht="16" customHeight="1" s="486"/>
    <row r="662" hidden="1" ht="16" customHeight="1" s="486"/>
    <row r="663" hidden="1" ht="16" customHeight="1" s="486"/>
    <row r="664" hidden="1" ht="16" customHeight="1" s="486"/>
    <row r="665" hidden="1" ht="16" customHeight="1" s="486"/>
    <row r="666" hidden="1" ht="16" customHeight="1" s="486"/>
    <row r="667" hidden="1" ht="16" customHeight="1" s="486"/>
    <row r="668" hidden="1" ht="16" customHeight="1" s="486"/>
    <row r="669" hidden="1" ht="16" customHeight="1" s="486"/>
    <row r="670" hidden="1" ht="16" customHeight="1" s="486"/>
    <row r="671" hidden="1" ht="16" customHeight="1" s="486"/>
    <row r="672" hidden="1" ht="16" customHeight="1" s="486"/>
    <row r="673" hidden="1" ht="16" customHeight="1" s="486"/>
    <row r="674" hidden="1" ht="16" customHeight="1" s="486"/>
    <row r="675" hidden="1" ht="16" customHeight="1" s="486"/>
    <row r="676" hidden="1" ht="16" customHeight="1" s="486"/>
    <row r="677" hidden="1" ht="16" customHeight="1" s="486"/>
    <row r="678" hidden="1" ht="16" customHeight="1" s="486"/>
    <row r="679" hidden="1" ht="16" customHeight="1" s="486"/>
    <row r="680" hidden="1" ht="16" customHeight="1" s="486"/>
    <row r="681" hidden="1" ht="16" customHeight="1" s="486"/>
    <row r="682" hidden="1" ht="16" customHeight="1" s="486"/>
    <row r="683" hidden="1" ht="16" customHeight="1" s="486"/>
    <row r="684" hidden="1" ht="16" customHeight="1" s="486"/>
    <row r="685" hidden="1" ht="16" customHeight="1" s="486"/>
    <row r="686" hidden="1" ht="16" customHeight="1" s="486"/>
    <row r="687" hidden="1" ht="16" customHeight="1" s="486"/>
    <row r="688" hidden="1" ht="16" customHeight="1" s="486"/>
    <row r="689" hidden="1" ht="16" customHeight="1" s="486"/>
    <row r="690" hidden="1" ht="16" customHeight="1" s="486"/>
    <row r="691" hidden="1" ht="16" customHeight="1" s="486"/>
    <row r="692" hidden="1" ht="16" customHeight="1" s="486"/>
    <row r="693" hidden="1" ht="16" customHeight="1" s="486"/>
    <row r="694" hidden="1" ht="16" customHeight="1" s="486"/>
    <row r="695" hidden="1" ht="16" customHeight="1" s="486"/>
    <row r="696" hidden="1" ht="16" customHeight="1" s="486"/>
    <row r="697" hidden="1" ht="16" customHeight="1" s="486"/>
    <row r="698" hidden="1" ht="16" customHeight="1" s="486"/>
    <row r="699" hidden="1" ht="16" customHeight="1" s="486"/>
    <row r="700" hidden="1" ht="16" customHeight="1" s="486"/>
    <row r="701" hidden="1" ht="16" customHeight="1" s="486"/>
    <row r="702" hidden="1" ht="16" customHeight="1" s="486"/>
    <row r="703" hidden="1" ht="16" customHeight="1" s="486"/>
    <row r="704" hidden="1" ht="16" customHeight="1" s="486"/>
    <row r="705" hidden="1" ht="16" customHeight="1" s="486"/>
    <row r="706" hidden="1" ht="16" customHeight="1" s="486"/>
    <row r="707" hidden="1" ht="16" customHeight="1" s="486"/>
    <row r="708" hidden="1" ht="16" customHeight="1" s="486"/>
    <row r="709" hidden="1" ht="16" customHeight="1" s="486"/>
    <row r="710" hidden="1" ht="16" customHeight="1" s="486"/>
    <row r="711" hidden="1" ht="16" customHeight="1" s="486"/>
    <row r="712" hidden="1" ht="16" customHeight="1" s="486"/>
    <row r="713" hidden="1" ht="16" customHeight="1" s="486"/>
    <row r="714" hidden="1" ht="16" customHeight="1" s="486"/>
    <row r="715" hidden="1" ht="16" customHeight="1" s="486"/>
    <row r="716" hidden="1" ht="16" customHeight="1" s="486"/>
    <row r="717" hidden="1" ht="16" customHeight="1" s="486"/>
    <row r="718" hidden="1" ht="16" customHeight="1" s="486"/>
    <row r="719" hidden="1" ht="16" customHeight="1" s="486"/>
    <row r="720" hidden="1" ht="16" customHeight="1" s="486"/>
    <row r="721" hidden="1" ht="16" customHeight="1" s="486"/>
    <row r="722" hidden="1" ht="16" customHeight="1" s="486"/>
    <row r="723" hidden="1" ht="16" customHeight="1" s="486"/>
    <row r="724" hidden="1" ht="16" customHeight="1" s="486"/>
    <row r="725" hidden="1" ht="16" customHeight="1" s="486"/>
    <row r="726" hidden="1" ht="16" customHeight="1" s="486"/>
    <row r="727" hidden="1" ht="16" customHeight="1" s="486"/>
    <row r="728" hidden="1" ht="16" customHeight="1" s="486"/>
    <row r="729" hidden="1" ht="16" customHeight="1" s="486"/>
    <row r="730" hidden="1" ht="16" customHeight="1" s="486"/>
    <row r="731" hidden="1" ht="16" customHeight="1" s="486"/>
    <row r="732" hidden="1" ht="16" customHeight="1" s="486"/>
    <row r="733" hidden="1" ht="16" customHeight="1" s="486"/>
    <row r="734" hidden="1" ht="16" customHeight="1" s="486"/>
    <row r="735" hidden="1" ht="16" customHeight="1" s="486"/>
    <row r="736" hidden="1" ht="16" customHeight="1" s="486"/>
    <row r="737" hidden="1" ht="16" customHeight="1" s="486"/>
    <row r="738" hidden="1" ht="16" customHeight="1" s="486"/>
    <row r="739" hidden="1" ht="16" customHeight="1" s="486"/>
    <row r="740" hidden="1" ht="16" customHeight="1" s="486"/>
    <row r="741" hidden="1" ht="16" customHeight="1" s="486"/>
    <row r="742" hidden="1" ht="16" customHeight="1" s="486"/>
    <row r="743" hidden="1" ht="16" customHeight="1" s="486"/>
    <row r="744" hidden="1" ht="16" customHeight="1" s="486"/>
    <row r="745" hidden="1" ht="16" customHeight="1" s="486"/>
    <row r="746" hidden="1" ht="16" customHeight="1" s="486"/>
    <row r="747" hidden="1" ht="16" customHeight="1" s="486"/>
    <row r="748" hidden="1" ht="16" customHeight="1" s="486"/>
    <row r="749" hidden="1" ht="16" customHeight="1" s="486"/>
    <row r="750" hidden="1" ht="16" customHeight="1" s="486"/>
    <row r="751" hidden="1" ht="16" customHeight="1" s="486"/>
    <row r="752" hidden="1" ht="16" customHeight="1" s="486"/>
    <row r="753" hidden="1" ht="16" customHeight="1" s="486"/>
    <row r="754" hidden="1" ht="16" customHeight="1" s="486"/>
    <row r="755" hidden="1" ht="16" customHeight="1" s="486"/>
    <row r="756" hidden="1" ht="16" customHeight="1" s="486"/>
    <row r="757" hidden="1" ht="16" customHeight="1" s="486"/>
    <row r="758" hidden="1" ht="16" customHeight="1" s="486"/>
    <row r="759" hidden="1" ht="16" customHeight="1" s="486"/>
    <row r="760" hidden="1" ht="16" customHeight="1" s="486"/>
    <row r="761" hidden="1" ht="16" customHeight="1" s="486"/>
    <row r="762" hidden="1" ht="16" customHeight="1" s="486"/>
    <row r="763" hidden="1" ht="16" customHeight="1" s="486"/>
    <row r="764" hidden="1" ht="16" customHeight="1" s="486"/>
    <row r="765" hidden="1" ht="16" customHeight="1" s="486"/>
    <row r="766" hidden="1" ht="16" customHeight="1" s="486"/>
    <row r="767" hidden="1" ht="16" customHeight="1" s="486"/>
    <row r="768" hidden="1" ht="16" customHeight="1" s="486"/>
    <row r="769" hidden="1" ht="16" customHeight="1" s="486"/>
    <row r="770" hidden="1" ht="16" customHeight="1" s="486"/>
    <row r="771" hidden="1" ht="16" customHeight="1" s="486"/>
    <row r="772" hidden="1" ht="16" customHeight="1" s="486"/>
    <row r="773" hidden="1" ht="16" customHeight="1" s="486"/>
    <row r="774" hidden="1" ht="16" customHeight="1" s="486"/>
    <row r="775" hidden="1" ht="16" customHeight="1" s="486"/>
    <row r="776" hidden="1" ht="16" customHeight="1" s="486"/>
    <row r="777" hidden="1" ht="16" customHeight="1" s="486"/>
    <row r="778" hidden="1" ht="16" customHeight="1" s="486"/>
    <row r="779" hidden="1" ht="16" customHeight="1" s="486"/>
    <row r="780" hidden="1" ht="16" customHeight="1" s="486"/>
    <row r="781" hidden="1" ht="16" customHeight="1" s="486"/>
    <row r="782" hidden="1" ht="16" customHeight="1" s="486"/>
    <row r="783" hidden="1" ht="16" customHeight="1" s="486"/>
    <row r="784" hidden="1" ht="16" customHeight="1" s="486"/>
    <row r="785" hidden="1" ht="16" customHeight="1" s="486"/>
    <row r="786" hidden="1" ht="16" customHeight="1" s="486"/>
    <row r="787" hidden="1" ht="16" customHeight="1" s="486"/>
    <row r="788" hidden="1" ht="16" customHeight="1" s="486"/>
    <row r="789" hidden="1" ht="16" customHeight="1" s="486"/>
    <row r="790" hidden="1" ht="16" customHeight="1" s="486"/>
    <row r="791" hidden="1" ht="16" customHeight="1" s="486"/>
    <row r="792" hidden="1" ht="16" customHeight="1" s="486"/>
    <row r="793" hidden="1" ht="16" customHeight="1" s="486"/>
    <row r="794" hidden="1" ht="16" customHeight="1" s="486"/>
    <row r="795" hidden="1" ht="16" customHeight="1" s="486"/>
    <row r="796" hidden="1" ht="16" customHeight="1" s="486"/>
    <row r="797" hidden="1" ht="16" customHeight="1" s="486"/>
    <row r="798" hidden="1" ht="16" customHeight="1" s="486"/>
    <row r="799" hidden="1" ht="16" customHeight="1" s="486"/>
    <row r="800" hidden="1" ht="16" customHeight="1" s="486"/>
    <row r="801" hidden="1" ht="16" customHeight="1" s="486"/>
    <row r="802" hidden="1" ht="16" customHeight="1" s="486"/>
    <row r="803" hidden="1" ht="16" customHeight="1" s="486"/>
    <row r="804" hidden="1" ht="16" customHeight="1" s="486"/>
    <row r="805" hidden="1" ht="16" customHeight="1" s="486"/>
    <row r="806" hidden="1" ht="16" customHeight="1" s="486"/>
    <row r="807" hidden="1" ht="16" customHeight="1" s="486"/>
    <row r="808" hidden="1" ht="16" customHeight="1" s="486"/>
    <row r="809" hidden="1" ht="16" customHeight="1" s="486"/>
    <row r="810" hidden="1" ht="16" customHeight="1" s="486"/>
    <row r="811" hidden="1" ht="16" customHeight="1" s="486"/>
    <row r="812" hidden="1" ht="16" customHeight="1" s="486"/>
    <row r="813" hidden="1" ht="16" customHeight="1" s="486"/>
    <row r="814" hidden="1" ht="16" customHeight="1" s="486"/>
    <row r="815" hidden="1" ht="16" customHeight="1" s="486"/>
    <row r="816" hidden="1" ht="16" customHeight="1" s="486"/>
    <row r="817" hidden="1" ht="16" customHeight="1" s="486"/>
    <row r="818" hidden="1" ht="16" customHeight="1" s="486"/>
    <row r="819" hidden="1" ht="16" customHeight="1" s="486"/>
    <row r="820" hidden="1" ht="16" customHeight="1" s="486"/>
    <row r="821" hidden="1" ht="16" customHeight="1" s="486"/>
    <row r="822" hidden="1" ht="16" customHeight="1" s="486"/>
    <row r="823" hidden="1" ht="16" customHeight="1" s="486"/>
    <row r="824" hidden="1" ht="16" customHeight="1" s="486"/>
    <row r="825" hidden="1" ht="16" customHeight="1" s="486"/>
    <row r="826" hidden="1" ht="16" customHeight="1" s="486"/>
    <row r="827" hidden="1" ht="16" customHeight="1" s="486"/>
    <row r="828" hidden="1" ht="16" customHeight="1" s="486"/>
    <row r="829" hidden="1" ht="16" customHeight="1" s="486"/>
    <row r="830" hidden="1" ht="16" customHeight="1" s="486"/>
    <row r="831" hidden="1" ht="16" customHeight="1" s="486"/>
    <row r="832" hidden="1" ht="16" customHeight="1" s="486"/>
    <row r="833" hidden="1" ht="16" customHeight="1" s="486"/>
    <row r="834" hidden="1" ht="16" customHeight="1" s="486"/>
    <row r="835" hidden="1" ht="16" customHeight="1" s="486"/>
    <row r="836" hidden="1" ht="16" customHeight="1" s="486"/>
    <row r="837" hidden="1" ht="16" customHeight="1" s="486"/>
    <row r="838" hidden="1" ht="16" customHeight="1" s="486"/>
    <row r="839" hidden="1" ht="16" customHeight="1" s="486"/>
    <row r="840" hidden="1" ht="16" customHeight="1" s="486"/>
    <row r="841" hidden="1" ht="16" customHeight="1" s="486"/>
    <row r="842" hidden="1" ht="16" customHeight="1" s="486"/>
    <row r="843" hidden="1" ht="16" customHeight="1" s="486"/>
    <row r="844" hidden="1" ht="16" customHeight="1" s="486"/>
    <row r="845" hidden="1" ht="16" customHeight="1" s="486"/>
    <row r="846" hidden="1" ht="16" customHeight="1" s="486"/>
    <row r="847" hidden="1" ht="16" customHeight="1" s="486"/>
    <row r="848" hidden="1" ht="16" customHeight="1" s="486"/>
    <row r="849" hidden="1" ht="16" customHeight="1" s="486"/>
    <row r="850" hidden="1" ht="16" customHeight="1" s="486"/>
    <row r="851" hidden="1" ht="16" customHeight="1" s="486"/>
    <row r="852" hidden="1" ht="16" customHeight="1" s="486"/>
    <row r="853" hidden="1" ht="16" customHeight="1" s="486"/>
    <row r="854" hidden="1" ht="16" customHeight="1" s="486"/>
    <row r="855" hidden="1" ht="16" customHeight="1" s="486"/>
    <row r="856" hidden="1" ht="16" customHeight="1" s="486"/>
    <row r="857" hidden="1" ht="16" customHeight="1" s="486"/>
    <row r="858" hidden="1" ht="16" customHeight="1" s="486"/>
    <row r="859" hidden="1" ht="16" customHeight="1" s="486"/>
    <row r="860" hidden="1" ht="16" customHeight="1" s="486"/>
    <row r="861" hidden="1" ht="16" customHeight="1" s="486"/>
    <row r="862" hidden="1" ht="16" customHeight="1" s="486"/>
    <row r="863" hidden="1" ht="16" customHeight="1" s="486"/>
    <row r="864" hidden="1" ht="16" customHeight="1" s="486"/>
    <row r="865" hidden="1" ht="16" customHeight="1" s="486"/>
    <row r="866" hidden="1" ht="16" customHeight="1" s="486"/>
    <row r="867" hidden="1" ht="16" customHeight="1" s="486"/>
    <row r="868" hidden="1" ht="16" customHeight="1" s="486"/>
    <row r="869" hidden="1" ht="16" customHeight="1" s="486"/>
    <row r="870" hidden="1" ht="16" customHeight="1" s="486"/>
    <row r="871" hidden="1" ht="16" customHeight="1" s="486"/>
    <row r="872" hidden="1" ht="16" customHeight="1" s="486"/>
    <row r="873" hidden="1" ht="16" customHeight="1" s="486"/>
    <row r="874" hidden="1" ht="16" customHeight="1" s="486"/>
    <row r="875" hidden="1" ht="16" customHeight="1" s="486"/>
    <row r="876" hidden="1" ht="16" customHeight="1" s="486"/>
    <row r="877" hidden="1" ht="16" customHeight="1" s="486"/>
    <row r="878" hidden="1" ht="16" customHeight="1" s="486"/>
    <row r="879" hidden="1" ht="16" customHeight="1" s="486"/>
    <row r="880" hidden="1" ht="16" customHeight="1" s="486"/>
    <row r="881" hidden="1" ht="16" customHeight="1" s="486"/>
    <row r="882" hidden="1" ht="16" customHeight="1" s="486"/>
    <row r="883" hidden="1" ht="16" customHeight="1" s="486"/>
    <row r="884" hidden="1" ht="16" customHeight="1" s="486"/>
    <row r="885" hidden="1" ht="16" customHeight="1" s="486"/>
    <row r="886" hidden="1" ht="16" customHeight="1" s="486"/>
    <row r="887" hidden="1" ht="16" customHeight="1" s="486"/>
    <row r="888" hidden="1" ht="16" customHeight="1" s="486"/>
    <row r="889" hidden="1" ht="16" customHeight="1" s="486"/>
    <row r="890" hidden="1" ht="16" customHeight="1" s="486"/>
    <row r="891" hidden="1" ht="16" customHeight="1" s="486"/>
    <row r="892" hidden="1" ht="16" customHeight="1" s="486"/>
    <row r="893" hidden="1" ht="16" customHeight="1" s="486"/>
    <row r="894" hidden="1" ht="16" customHeight="1" s="486"/>
    <row r="895" hidden="1" ht="16" customHeight="1" s="486"/>
    <row r="896" hidden="1" ht="16" customHeight="1" s="486"/>
    <row r="897" hidden="1" ht="16" customHeight="1" s="486"/>
    <row r="898" hidden="1" ht="16" customHeight="1" s="486"/>
    <row r="899" hidden="1" ht="16" customHeight="1" s="486"/>
    <row r="900" hidden="1" ht="16" customHeight="1" s="486"/>
    <row r="901" hidden="1" ht="16" customHeight="1" s="486"/>
    <row r="902" hidden="1" ht="16" customHeight="1" s="486"/>
    <row r="903" hidden="1" ht="16" customHeight="1" s="486"/>
    <row r="904" hidden="1" ht="16" customHeight="1" s="486"/>
    <row r="905" hidden="1" ht="16" customHeight="1" s="486"/>
    <row r="906" hidden="1" ht="16" customHeight="1" s="486"/>
    <row r="907" hidden="1" ht="16" customHeight="1" s="486"/>
    <row r="908" hidden="1" ht="16" customHeight="1" s="486"/>
    <row r="909" hidden="1" ht="16" customHeight="1" s="486"/>
    <row r="910" hidden="1" ht="16" customHeight="1" s="486"/>
    <row r="911" hidden="1" ht="16" customHeight="1" s="486"/>
    <row r="912" hidden="1" ht="16" customHeight="1" s="486"/>
    <row r="913" hidden="1" ht="16" customHeight="1" s="486"/>
    <row r="914" hidden="1" ht="16" customHeight="1" s="486"/>
    <row r="915" hidden="1" ht="16" customHeight="1" s="486"/>
    <row r="916" hidden="1" ht="16" customHeight="1" s="486"/>
    <row r="917" hidden="1" ht="16" customHeight="1" s="486"/>
    <row r="918" hidden="1" ht="16" customHeight="1" s="486"/>
    <row r="919" hidden="1" ht="16" customHeight="1" s="486"/>
    <row r="920" hidden="1" ht="16" customHeight="1" s="486"/>
    <row r="921" hidden="1" ht="16" customHeight="1" s="486"/>
    <row r="922" hidden="1" ht="16" customHeight="1" s="486"/>
    <row r="923" hidden="1" ht="16" customHeight="1" s="486"/>
    <row r="924" hidden="1" ht="16" customHeight="1" s="486"/>
    <row r="925" hidden="1" ht="16" customHeight="1" s="486"/>
    <row r="926" hidden="1" ht="16" customHeight="1" s="486"/>
    <row r="927" hidden="1" ht="16" customHeight="1" s="486"/>
    <row r="928" hidden="1" ht="16" customHeight="1" s="486"/>
    <row r="929" hidden="1" ht="16" customHeight="1" s="486"/>
    <row r="930" hidden="1" ht="16" customHeight="1" s="486"/>
    <row r="931" hidden="1" ht="16" customHeight="1" s="486"/>
    <row r="932" hidden="1" ht="16" customHeight="1" s="486"/>
    <row r="933" hidden="1" ht="16" customHeight="1" s="486"/>
    <row r="934" hidden="1" ht="16" customHeight="1" s="486"/>
    <row r="935" hidden="1" ht="16" customHeight="1" s="486"/>
    <row r="936" hidden="1" ht="16" customHeight="1" s="486"/>
    <row r="937" hidden="1" ht="16" customHeight="1" s="486"/>
    <row r="938" hidden="1" ht="16" customHeight="1" s="486"/>
    <row r="939" hidden="1" ht="16" customHeight="1" s="486"/>
    <row r="940" hidden="1" ht="16" customHeight="1" s="486"/>
    <row r="941" hidden="1" ht="16" customHeight="1" s="486"/>
    <row r="942" hidden="1" ht="16" customHeight="1" s="486"/>
    <row r="943" hidden="1" ht="16" customHeight="1" s="486"/>
    <row r="944" hidden="1" ht="16" customHeight="1" s="486"/>
    <row r="945" hidden="1" ht="16" customHeight="1" s="486"/>
    <row r="946" hidden="1" ht="16" customHeight="1" s="486"/>
    <row r="947" hidden="1" ht="16" customHeight="1" s="486"/>
    <row r="948" hidden="1" ht="16" customHeight="1" s="486"/>
    <row r="949" hidden="1" ht="16" customHeight="1" s="486"/>
    <row r="950" hidden="1" ht="16" customHeight="1" s="486"/>
    <row r="951" hidden="1" ht="16" customHeight="1" s="486"/>
    <row r="952" hidden="1" ht="16" customHeight="1" s="486"/>
    <row r="953" hidden="1" ht="16" customHeight="1" s="486"/>
    <row r="954" hidden="1" ht="16" customHeight="1" s="486"/>
    <row r="955" hidden="1" ht="16" customHeight="1" s="486"/>
    <row r="956" hidden="1" ht="16" customHeight="1" s="486"/>
    <row r="957" hidden="1" ht="16" customHeight="1" s="486"/>
    <row r="958" hidden="1" ht="16" customHeight="1" s="486"/>
    <row r="959" hidden="1" ht="16" customHeight="1" s="486"/>
    <row r="960" hidden="1" ht="16" customHeight="1" s="486"/>
    <row r="961" hidden="1" ht="16" customHeight="1" s="486"/>
    <row r="962" hidden="1" ht="16" customHeight="1" s="486"/>
    <row r="963" hidden="1" ht="16" customHeight="1" s="486"/>
    <row r="964" hidden="1" ht="16" customHeight="1" s="486"/>
    <row r="965" hidden="1" ht="16" customHeight="1" s="486"/>
    <row r="966" hidden="1" ht="16" customHeight="1" s="486"/>
    <row r="967" hidden="1" ht="16" customHeight="1" s="486"/>
    <row r="968" hidden="1" ht="16" customHeight="1" s="486"/>
    <row r="969" hidden="1" ht="16" customHeight="1" s="486"/>
    <row r="970" hidden="1" ht="16" customHeight="1" s="486"/>
    <row r="971" hidden="1" ht="16" customHeight="1" s="486"/>
    <row r="972" hidden="1" ht="16" customHeight="1" s="486"/>
    <row r="973" hidden="1" ht="16" customHeight="1" s="486"/>
    <row r="974" hidden="1" ht="16" customHeight="1" s="486"/>
    <row r="975" hidden="1" ht="16" customHeight="1" s="486"/>
    <row r="976" hidden="1" ht="16" customHeight="1" s="486"/>
    <row r="977" hidden="1" ht="16" customHeight="1" s="486"/>
    <row r="978" hidden="1" ht="16" customHeight="1" s="486"/>
    <row r="979" hidden="1" ht="16" customHeight="1" s="486"/>
    <row r="980" hidden="1" ht="16" customHeight="1" s="486"/>
    <row r="981" hidden="1" ht="16" customHeight="1" s="486"/>
    <row r="982" hidden="1" ht="16" customHeight="1" s="486"/>
    <row r="983" hidden="1" ht="16" customHeight="1" s="486"/>
    <row r="984" hidden="1" ht="16" customHeight="1" s="486"/>
    <row r="985" hidden="1" ht="16" customHeight="1" s="486"/>
    <row r="986" hidden="1" ht="16" customHeight="1" s="486"/>
    <row r="987" hidden="1" ht="16" customHeight="1" s="486"/>
    <row r="988" hidden="1" ht="16" customHeight="1" s="486"/>
    <row r="989" hidden="1" ht="16" customHeight="1" s="486"/>
    <row r="990" hidden="1" ht="16" customHeight="1" s="486"/>
    <row r="991" hidden="1" ht="16" customHeight="1" s="486"/>
    <row r="992" hidden="1" ht="16" customHeight="1" s="486"/>
    <row r="993" hidden="1" ht="16" customHeight="1" s="486"/>
    <row r="994" hidden="1" ht="16" customHeight="1" s="486"/>
    <row r="995" hidden="1" ht="16" customHeight="1" s="486"/>
    <row r="996" hidden="1" ht="16" customHeight="1" s="486"/>
    <row r="997" hidden="1" ht="16" customHeight="1" s="486"/>
    <row r="998" hidden="1" ht="16" customHeight="1" s="486"/>
    <row r="999" hidden="1" ht="16" customHeight="1" s="486"/>
    <row r="1000" hidden="1" ht="16" customHeight="1" s="486"/>
    <row r="1001" hidden="1" ht="16" customHeight="1" s="486"/>
    <row r="1002" hidden="1" ht="16" customHeight="1" s="486"/>
    <row r="1003" hidden="1" ht="16" customHeight="1" s="486"/>
    <row r="1004" hidden="1" ht="16" customHeight="1" s="486"/>
    <row r="1005" hidden="1" ht="16" customHeight="1" s="486"/>
    <row r="1006" hidden="1" ht="16" customHeight="1" s="486"/>
    <row r="1007" hidden="1" ht="16" customHeight="1" s="486"/>
    <row r="1008" hidden="1" ht="16" customHeight="1" s="486"/>
    <row r="1009" hidden="1" ht="16" customHeight="1" s="486"/>
    <row r="1010" hidden="1" ht="16" customHeight="1" s="486"/>
    <row r="1011" hidden="1" ht="16" customHeight="1" s="486"/>
    <row r="1012" hidden="1" ht="16" customHeight="1" s="486"/>
    <row r="1013" hidden="1" ht="16" customHeight="1" s="486"/>
    <row r="1014" hidden="1" ht="16" customHeight="1" s="486"/>
    <row r="1015" hidden="1" ht="16" customHeight="1" s="486"/>
    <row r="1016" hidden="1" ht="16" customHeight="1" s="486"/>
    <row r="1017" hidden="1" ht="16" customHeight="1" s="486"/>
    <row r="1018" hidden="1" ht="16" customHeight="1" s="486"/>
    <row r="1019" hidden="1" ht="16" customHeight="1" s="486"/>
    <row r="1020" hidden="1" ht="16" customHeight="1" s="486"/>
    <row r="1021" hidden="1" ht="16" customHeight="1" s="486"/>
    <row r="1022" hidden="1" ht="16" customHeight="1" s="486"/>
    <row r="1023" hidden="1" ht="16" customHeight="1" s="486"/>
    <row r="1024" hidden="1" ht="16" customHeight="1" s="486"/>
    <row r="1025" hidden="1" ht="16" customHeight="1" s="486"/>
    <row r="1026" hidden="1" ht="16" customHeight="1" s="486"/>
    <row r="1027" hidden="1" ht="16" customHeight="1" s="486"/>
    <row r="1028" hidden="1" ht="16" customHeight="1" s="486"/>
    <row r="1029" hidden="1" ht="16" customHeight="1" s="486"/>
    <row r="1030" hidden="1" ht="16" customHeight="1" s="486"/>
    <row r="1031" hidden="1" ht="16" customHeight="1" s="486"/>
    <row r="1032" hidden="1" ht="16" customHeight="1" s="486"/>
    <row r="1033" hidden="1" ht="16" customHeight="1" s="486"/>
    <row r="1034" hidden="1" ht="16" customHeight="1" s="486"/>
    <row r="1035" hidden="1" ht="16" customHeight="1" s="486"/>
    <row r="1036" hidden="1" ht="16" customHeight="1" s="486"/>
    <row r="1037" hidden="1" ht="16" customHeight="1" s="486"/>
    <row r="1038" hidden="1" ht="16" customHeight="1" s="486"/>
    <row r="1039" hidden="1" ht="16" customHeight="1" s="486"/>
    <row r="1040" hidden="1" ht="16" customHeight="1" s="486"/>
    <row r="1041" hidden="1" ht="16" customHeight="1" s="486"/>
    <row r="1042" hidden="1" ht="16" customHeight="1" s="486"/>
    <row r="1043" hidden="1" ht="16" customHeight="1" s="486"/>
    <row r="1044" hidden="1" ht="16" customHeight="1" s="486"/>
    <row r="1045" hidden="1" ht="16" customHeight="1" s="486"/>
    <row r="1046" hidden="1" ht="16" customHeight="1" s="486"/>
    <row r="1047" hidden="1" ht="16" customHeight="1" s="486"/>
    <row r="1048" hidden="1" ht="16" customHeight="1" s="486"/>
    <row r="1049" hidden="1" ht="16" customHeight="1" s="486"/>
    <row r="1050" hidden="1" ht="16" customHeight="1" s="486"/>
    <row r="1051" hidden="1" ht="16" customHeight="1" s="486"/>
    <row r="1052" hidden="1" ht="16" customHeight="1" s="486"/>
    <row r="1053" hidden="1" ht="16" customHeight="1" s="486"/>
    <row r="1054" hidden="1" ht="16" customHeight="1" s="486"/>
    <row r="1055" hidden="1" ht="16" customHeight="1" s="486"/>
    <row r="1056" hidden="1" ht="16" customHeight="1" s="486"/>
    <row r="1057" hidden="1" ht="16" customHeight="1" s="486"/>
    <row r="1058" hidden="1" ht="16" customHeight="1" s="486"/>
    <row r="1059" hidden="1" ht="16" customHeight="1" s="486"/>
    <row r="1060" hidden="1" ht="16" customHeight="1" s="486"/>
    <row r="1061" hidden="1" ht="16" customHeight="1" s="486"/>
    <row r="1062" hidden="1" ht="16" customHeight="1" s="486"/>
    <row r="1063" hidden="1" ht="16" customHeight="1" s="486"/>
    <row r="1064" hidden="1" ht="16" customHeight="1" s="486"/>
    <row r="1065" hidden="1" ht="16" customHeight="1" s="486"/>
    <row r="1066" hidden="1" ht="16" customHeight="1" s="486"/>
    <row r="1067" hidden="1" ht="16" customHeight="1" s="486"/>
    <row r="1068" hidden="1" ht="16" customHeight="1" s="486"/>
    <row r="1069" hidden="1" ht="16" customHeight="1" s="486"/>
    <row r="1070" hidden="1" ht="16" customHeight="1" s="486"/>
    <row r="1071" hidden="1" ht="16" customHeight="1" s="486"/>
    <row r="1072" hidden="1" ht="16" customHeight="1" s="486"/>
    <row r="1073" hidden="1" ht="16" customHeight="1" s="486"/>
    <row r="1074" hidden="1" ht="16" customHeight="1" s="486"/>
    <row r="1075" hidden="1" ht="16" customHeight="1" s="486"/>
    <row r="1076" hidden="1" ht="16" customHeight="1" s="486"/>
    <row r="1077" hidden="1" ht="16" customHeight="1" s="486"/>
    <row r="1078" hidden="1" ht="16" customHeight="1" s="486"/>
    <row r="1079" hidden="1" ht="16" customHeight="1" s="486"/>
    <row r="1080" hidden="1" ht="16" customHeight="1" s="486"/>
    <row r="1081" hidden="1" ht="16" customHeight="1" s="486"/>
    <row r="1082" hidden="1" ht="16" customHeight="1" s="486"/>
    <row r="1083" hidden="1" ht="16" customHeight="1" s="486"/>
    <row r="1084" hidden="1" ht="16" customHeight="1" s="486"/>
    <row r="1085" hidden="1" ht="16" customHeight="1" s="486"/>
    <row r="1086" hidden="1" ht="16" customHeight="1" s="486"/>
    <row r="1087" hidden="1" ht="16" customHeight="1" s="486"/>
    <row r="1088" hidden="1" ht="16" customHeight="1" s="486"/>
    <row r="1089" hidden="1" ht="16" customHeight="1" s="486"/>
    <row r="1090" hidden="1" ht="16" customHeight="1" s="486"/>
    <row r="1091" hidden="1" ht="16" customHeight="1" s="486"/>
    <row r="1092" hidden="1" ht="16" customHeight="1" s="486"/>
    <row r="1093" hidden="1" ht="16" customHeight="1" s="486"/>
    <row r="1094" hidden="1" ht="16" customHeight="1" s="486"/>
    <row r="1095" hidden="1" ht="16" customHeight="1" s="486"/>
    <row r="1096" hidden="1" ht="16" customHeight="1" s="486"/>
    <row r="1097" hidden="1" ht="16" customHeight="1" s="486"/>
    <row r="1098" hidden="1" ht="16" customHeight="1" s="486"/>
    <row r="1099" hidden="1" ht="16" customHeight="1" s="486"/>
    <row r="1100" hidden="1" ht="16" customHeight="1" s="486"/>
    <row r="1101" hidden="1" ht="16" customHeight="1" s="486"/>
    <row r="1102" hidden="1" ht="16" customHeight="1" s="486"/>
    <row r="1103" hidden="1" ht="16" customHeight="1" s="486"/>
    <row r="1104" hidden="1" ht="16" customHeight="1" s="486"/>
    <row r="1105" hidden="1" ht="16" customHeight="1" s="486"/>
    <row r="1106" hidden="1" ht="16" customHeight="1" s="486"/>
    <row r="1107" hidden="1" ht="16" customHeight="1" s="486"/>
    <row r="1108" hidden="1" ht="16" customHeight="1" s="486"/>
    <row r="1109" hidden="1" ht="16" customHeight="1" s="486"/>
    <row r="1110" hidden="1" ht="16" customHeight="1" s="486"/>
    <row r="1111" hidden="1" ht="16" customHeight="1" s="486"/>
    <row r="1112" hidden="1" ht="16" customHeight="1" s="486"/>
    <row r="1113" hidden="1" ht="16" customHeight="1" s="486"/>
    <row r="1114" hidden="1" ht="16" customHeight="1" s="486"/>
    <row r="1115" hidden="1" ht="16" customHeight="1" s="486"/>
    <row r="1116" hidden="1" ht="16" customHeight="1" s="486"/>
    <row r="1117" hidden="1" ht="16" customHeight="1" s="486"/>
    <row r="1118" hidden="1" ht="16" customHeight="1" s="486"/>
    <row r="1119" hidden="1" ht="16" customHeight="1" s="486"/>
    <row r="1120" hidden="1" ht="16" customHeight="1" s="486"/>
    <row r="1121" hidden="1" ht="16" customHeight="1" s="486"/>
    <row r="1122" hidden="1" ht="16" customHeight="1" s="486"/>
    <row r="1123" hidden="1" ht="16" customHeight="1" s="486"/>
    <row r="1124" hidden="1" ht="16" customHeight="1" s="486"/>
    <row r="1125" hidden="1" ht="16" customHeight="1" s="486"/>
    <row r="1126" hidden="1" ht="16" customHeight="1" s="486"/>
    <row r="1127" hidden="1" ht="16" customHeight="1" s="486"/>
    <row r="1128" hidden="1" ht="16" customHeight="1" s="486"/>
    <row r="1129" hidden="1" ht="16" customHeight="1" s="486"/>
    <row r="1130" hidden="1" ht="16" customHeight="1" s="486"/>
    <row r="1131" hidden="1" ht="16" customHeight="1" s="486"/>
    <row r="1132" hidden="1" ht="16" customHeight="1" s="486"/>
    <row r="1133" hidden="1" ht="16" customHeight="1" s="486"/>
    <row r="1134" hidden="1" ht="16" customHeight="1" s="486"/>
    <row r="1135" hidden="1" ht="16" customHeight="1" s="486"/>
    <row r="1136" hidden="1" ht="16" customHeight="1" s="486"/>
    <row r="1137" hidden="1" ht="16" customHeight="1" s="486"/>
    <row r="1138" hidden="1" ht="16" customHeight="1" s="486"/>
    <row r="1139" hidden="1" ht="16" customHeight="1" s="486"/>
    <row r="1140" hidden="1" ht="16" customHeight="1" s="486"/>
    <row r="1141" hidden="1" ht="16" customHeight="1" s="486"/>
    <row r="1142" hidden="1" ht="16" customHeight="1" s="486"/>
    <row r="1143" hidden="1" ht="16" customHeight="1" s="486"/>
    <row r="1144" hidden="1" ht="16" customHeight="1" s="486"/>
    <row r="1145" hidden="1" ht="16" customHeight="1" s="486"/>
    <row r="1146" hidden="1" ht="16" customHeight="1" s="486"/>
    <row r="1147" hidden="1" ht="16" customHeight="1" s="486"/>
    <row r="1148" hidden="1" ht="16" customHeight="1" s="486"/>
    <row r="1149" hidden="1" ht="16" customHeight="1" s="486"/>
    <row r="1150" hidden="1" ht="16" customHeight="1" s="486"/>
    <row r="1151" hidden="1" ht="16" customHeight="1" s="486"/>
    <row r="1152" hidden="1" ht="16" customHeight="1" s="486"/>
    <row r="1153" hidden="1" ht="16" customHeight="1" s="486"/>
    <row r="1154" hidden="1" ht="16" customHeight="1" s="486"/>
    <row r="1155" hidden="1" ht="16" customHeight="1" s="486"/>
    <row r="1156" hidden="1" ht="16" customHeight="1" s="486"/>
    <row r="1157" hidden="1" ht="16" customHeight="1" s="486"/>
    <row r="1158" hidden="1" ht="16" customHeight="1" s="486"/>
    <row r="1159" hidden="1" ht="16" customHeight="1" s="486"/>
    <row r="1160" hidden="1" ht="16" customHeight="1" s="486"/>
    <row r="1161" hidden="1" ht="16" customHeight="1" s="486"/>
    <row r="1162" hidden="1" ht="16" customHeight="1" s="486"/>
    <row r="1163" hidden="1" ht="16" customHeight="1" s="486"/>
    <row r="1164" hidden="1" ht="16" customHeight="1" s="486"/>
    <row r="1165" hidden="1" ht="16" customHeight="1" s="486"/>
    <row r="1166" hidden="1" ht="16" customHeight="1" s="486"/>
    <row r="1167" hidden="1" ht="16" customHeight="1" s="486"/>
    <row r="1168" hidden="1" ht="16" customHeight="1" s="486"/>
    <row r="1169" hidden="1" ht="16" customHeight="1" s="486"/>
    <row r="1170" hidden="1" ht="16" customHeight="1" s="486"/>
    <row r="1171" hidden="1" ht="16" customHeight="1" s="486"/>
    <row r="1172" hidden="1" ht="16" customHeight="1" s="486"/>
    <row r="1173" hidden="1" ht="16" customHeight="1" s="486"/>
    <row r="1174" hidden="1" ht="16" customHeight="1" s="486"/>
    <row r="1175" hidden="1" ht="16" customHeight="1" s="486"/>
    <row r="1176" hidden="1" ht="16" customHeight="1" s="486"/>
    <row r="1177" hidden="1" ht="16" customHeight="1" s="486"/>
    <row r="1178" hidden="1" ht="16" customHeight="1" s="486"/>
    <row r="1179" hidden="1" ht="16" customHeight="1" s="486"/>
    <row r="1180" hidden="1" ht="16" customHeight="1" s="486"/>
    <row r="1181" hidden="1" ht="16" customHeight="1" s="486"/>
    <row r="1182" hidden="1" ht="16" customHeight="1" s="486"/>
    <row r="1183" hidden="1" ht="16" customHeight="1" s="486"/>
    <row r="1184" hidden="1" ht="16" customHeight="1" s="486"/>
    <row r="1185" hidden="1" ht="16" customHeight="1" s="486"/>
    <row r="1186" hidden="1" ht="16" customHeight="1" s="486"/>
    <row r="1187" hidden="1" ht="16" customHeight="1" s="486"/>
    <row r="1188" hidden="1" ht="16" customHeight="1" s="486"/>
    <row r="1189" hidden="1" ht="16" customHeight="1" s="486"/>
    <row r="1190" hidden="1" ht="16" customHeight="1" s="486"/>
    <row r="1191" hidden="1" ht="16" customHeight="1" s="486"/>
    <row r="1192" hidden="1" ht="16" customHeight="1" s="486"/>
    <row r="1193" hidden="1" ht="16" customHeight="1" s="486"/>
    <row r="1194" hidden="1" ht="16" customHeight="1" s="486"/>
    <row r="1195" hidden="1" ht="16" customHeight="1" s="486"/>
    <row r="1196" hidden="1" ht="16" customHeight="1" s="486"/>
    <row r="1197" hidden="1" ht="16" customHeight="1" s="486"/>
    <row r="1198" hidden="1" ht="16" customHeight="1" s="486"/>
    <row r="1199" hidden="1" ht="16" customHeight="1" s="486"/>
    <row r="1200" hidden="1" ht="16" customHeight="1" s="486"/>
    <row r="1201" hidden="1" ht="16" customHeight="1" s="486"/>
    <row r="1202" hidden="1" ht="16" customHeight="1" s="486"/>
    <row r="1203" hidden="1" ht="16" customHeight="1" s="486"/>
    <row r="1204" hidden="1" ht="16" customHeight="1" s="486"/>
    <row r="1205" hidden="1" ht="16" customHeight="1" s="486"/>
    <row r="1206" hidden="1" ht="16" customHeight="1" s="486"/>
    <row r="1207" hidden="1" ht="16" customHeight="1" s="486"/>
    <row r="1208" hidden="1" ht="16" customHeight="1" s="486"/>
    <row r="1209" hidden="1" ht="16" customHeight="1" s="486"/>
    <row r="1210" hidden="1" ht="16" customHeight="1" s="486"/>
    <row r="1211" hidden="1" ht="16" customHeight="1" s="486"/>
    <row r="1212" hidden="1" ht="16" customHeight="1" s="486"/>
    <row r="1213" hidden="1" ht="16" customHeight="1" s="486"/>
    <row r="1214" hidden="1" ht="16" customHeight="1" s="486"/>
    <row r="1215" hidden="1" ht="16" customHeight="1" s="486"/>
    <row r="1216" hidden="1" ht="16" customHeight="1" s="486"/>
    <row r="1217" hidden="1" ht="16" customHeight="1" s="486"/>
    <row r="1218" hidden="1" ht="16" customHeight="1" s="486"/>
    <row r="1219" hidden="1" ht="16" customHeight="1" s="486"/>
    <row r="1220" hidden="1" ht="16" customHeight="1" s="486"/>
    <row r="1221" hidden="1" ht="16" customHeight="1" s="486"/>
    <row r="1222" hidden="1" ht="16" customHeight="1" s="486"/>
    <row r="1223" hidden="1" ht="16" customHeight="1" s="486"/>
    <row r="1224" hidden="1" ht="16" customHeight="1" s="486"/>
    <row r="1225" hidden="1" ht="16" customHeight="1" s="486"/>
    <row r="1226" hidden="1" ht="16" customHeight="1" s="486"/>
    <row r="1227" hidden="1" ht="16" customHeight="1" s="486"/>
    <row r="1228" hidden="1" ht="16" customHeight="1" s="486"/>
    <row r="1229" hidden="1" ht="16" customHeight="1" s="486"/>
    <row r="1230" hidden="1" ht="16" customHeight="1" s="486"/>
    <row r="1231" hidden="1" ht="16" customHeight="1" s="486"/>
    <row r="1232" hidden="1" ht="16" customHeight="1" s="486"/>
    <row r="1233" hidden="1" ht="16" customHeight="1" s="486"/>
    <row r="1234" hidden="1" ht="16" customHeight="1" s="486"/>
    <row r="1235" hidden="1" ht="16" customHeight="1" s="486"/>
    <row r="1236" hidden="1" ht="16" customHeight="1" s="486"/>
    <row r="1237" hidden="1" ht="16" customHeight="1" s="486"/>
    <row r="1238" hidden="1" ht="16" customHeight="1" s="486"/>
    <row r="1239" hidden="1" ht="16" customHeight="1" s="486"/>
    <row r="1240" hidden="1" ht="16" customHeight="1" s="486"/>
    <row r="1241" hidden="1" ht="16" customHeight="1" s="486"/>
    <row r="1242" hidden="1" ht="16" customHeight="1" s="486"/>
    <row r="1243" hidden="1" ht="16" customHeight="1" s="486"/>
    <row r="1244" hidden="1" ht="16" customHeight="1" s="486"/>
    <row r="1245" hidden="1" ht="16" customHeight="1" s="486"/>
    <row r="1246" hidden="1" ht="16" customHeight="1" s="486"/>
    <row r="1247" hidden="1" ht="16" customHeight="1" s="486"/>
    <row r="1248" hidden="1" ht="16" customHeight="1" s="486"/>
    <row r="1249" hidden="1" ht="16" customHeight="1" s="486"/>
    <row r="1250" hidden="1" ht="16" customHeight="1" s="486"/>
    <row r="1251" hidden="1" ht="16" customHeight="1" s="486"/>
    <row r="1252" hidden="1" ht="16" customHeight="1" s="486"/>
    <row r="1253" hidden="1" ht="16" customHeight="1" s="486"/>
    <row r="1254" hidden="1" ht="16" customHeight="1" s="486"/>
    <row r="1255" hidden="1" ht="16" customHeight="1" s="486"/>
    <row r="1256" hidden="1" ht="16" customHeight="1" s="486"/>
    <row r="1257" hidden="1" ht="16" customHeight="1" s="486"/>
    <row r="1258" hidden="1" ht="16" customHeight="1" s="486"/>
    <row r="1259" hidden="1" ht="16" customHeight="1" s="486"/>
    <row r="1260" hidden="1" ht="16" customHeight="1" s="486"/>
    <row r="1261" hidden="1" ht="16" customHeight="1" s="486"/>
    <row r="1262" hidden="1" ht="16" customHeight="1" s="486"/>
    <row r="1263" hidden="1" ht="16" customHeight="1" s="486"/>
    <row r="1264" hidden="1" ht="16" customHeight="1" s="486"/>
    <row r="1265" hidden="1" ht="16" customHeight="1" s="486"/>
    <row r="1266" hidden="1" ht="16" customHeight="1" s="486"/>
    <row r="1267" hidden="1" ht="16" customHeight="1" s="486"/>
    <row r="1268" hidden="1" ht="16" customHeight="1" s="486"/>
    <row r="1269" hidden="1" ht="16" customHeight="1" s="486"/>
    <row r="1270" hidden="1" ht="16" customHeight="1" s="486"/>
    <row r="1271" hidden="1" ht="16" customHeight="1" s="486"/>
    <row r="1272" hidden="1" ht="16" customHeight="1" s="486"/>
    <row r="1273" hidden="1" ht="16" customHeight="1" s="486"/>
    <row r="1274" hidden="1" ht="16" customHeight="1" s="486"/>
    <row r="1275" hidden="1" ht="16" customHeight="1" s="486"/>
    <row r="1276" hidden="1" ht="16" customHeight="1" s="486"/>
    <row r="1277" hidden="1" ht="16" customHeight="1" s="486"/>
    <row r="1278" hidden="1" ht="16" customHeight="1" s="486"/>
    <row r="1279" hidden="1" ht="16" customHeight="1" s="486"/>
    <row r="1280" hidden="1" ht="16" customHeight="1" s="486"/>
    <row r="1281" hidden="1" ht="16" customHeight="1" s="486"/>
    <row r="1282" hidden="1" ht="16" customHeight="1" s="486"/>
    <row r="1283" hidden="1" ht="16" customHeight="1" s="486"/>
    <row r="1284" hidden="1" ht="16" customHeight="1" s="486"/>
    <row r="1285" hidden="1" ht="16" customHeight="1" s="486"/>
    <row r="1286" hidden="1" ht="16" customHeight="1" s="486"/>
    <row r="1287" hidden="1" ht="16" customHeight="1" s="486"/>
    <row r="1288" hidden="1" ht="16" customHeight="1" s="486"/>
    <row r="1289" hidden="1" ht="16" customHeight="1" s="486"/>
    <row r="1290" hidden="1" ht="16" customHeight="1" s="486"/>
    <row r="1291" hidden="1" ht="16" customHeight="1" s="486"/>
    <row r="1292" hidden="1" ht="16" customHeight="1" s="486"/>
    <row r="1293" hidden="1" ht="16" customHeight="1" s="486"/>
    <row r="1294" hidden="1" ht="16" customHeight="1" s="486"/>
    <row r="1295" hidden="1" ht="16" customHeight="1" s="486"/>
    <row r="1296" hidden="1" ht="16" customHeight="1" s="486"/>
    <row r="1297" hidden="1" ht="16" customHeight="1" s="486"/>
    <row r="1298" hidden="1" ht="16" customHeight="1" s="486"/>
    <row r="1299" hidden="1" ht="16" customHeight="1" s="486"/>
    <row r="1300" hidden="1" ht="16" customHeight="1" s="486"/>
    <row r="1301" hidden="1" ht="16" customHeight="1" s="486"/>
    <row r="1302" hidden="1" ht="16" customHeight="1" s="486"/>
    <row r="1303" hidden="1" ht="16" customHeight="1" s="486"/>
    <row r="1304" hidden="1" ht="16" customHeight="1" s="486"/>
    <row r="1305" hidden="1" ht="16" customHeight="1" s="486"/>
    <row r="1306" hidden="1" ht="16" customHeight="1" s="486"/>
    <row r="1307" hidden="1" ht="16" customHeight="1" s="486"/>
    <row r="1308" hidden="1" ht="16" customHeight="1" s="486"/>
    <row r="1309" hidden="1" ht="16" customHeight="1" s="486"/>
    <row r="1310" hidden="1" ht="16" customHeight="1" s="486"/>
    <row r="1311" hidden="1" ht="16" customHeight="1" s="486"/>
    <row r="1312" hidden="1" ht="16" customHeight="1" s="486"/>
    <row r="1313" hidden="1" ht="16" customHeight="1" s="486"/>
    <row r="1314" hidden="1" ht="16" customHeight="1" s="486"/>
    <row r="1315" hidden="1" ht="16" customHeight="1" s="486"/>
    <row r="1316" hidden="1" ht="16" customHeight="1" s="486"/>
    <row r="1317" hidden="1" ht="16" customHeight="1" s="486"/>
    <row r="1318" hidden="1" ht="16" customHeight="1" s="486"/>
    <row r="1319" hidden="1" ht="16" customHeight="1" s="486"/>
    <row r="1320" hidden="1" ht="16" customHeight="1" s="486"/>
    <row r="1321" hidden="1" ht="16" customHeight="1" s="486"/>
    <row r="1322" hidden="1" ht="16" customHeight="1" s="486"/>
    <row r="1323" hidden="1" ht="16" customHeight="1" s="486"/>
    <row r="1324" hidden="1" ht="16" customHeight="1" s="486"/>
    <row r="1325" hidden="1" ht="16" customHeight="1" s="486"/>
    <row r="1326" hidden="1" ht="16" customHeight="1" s="486"/>
    <row r="1327" hidden="1" ht="16" customHeight="1" s="486"/>
    <row r="1328" hidden="1" ht="16" customHeight="1" s="486"/>
    <row r="1329" hidden="1" ht="16" customHeight="1" s="486"/>
    <row r="1330" hidden="1" ht="16" customHeight="1" s="486"/>
    <row r="1331" hidden="1" ht="16" customHeight="1" s="486"/>
    <row r="1332" hidden="1" ht="16" customHeight="1" s="486"/>
    <row r="1333" hidden="1" ht="16" customHeight="1" s="486"/>
    <row r="1334" hidden="1" ht="16" customHeight="1" s="486"/>
    <row r="1335" hidden="1" ht="16" customHeight="1" s="486"/>
    <row r="1336" hidden="1" ht="16" customHeight="1" s="486"/>
    <row r="1337" hidden="1" ht="16" customHeight="1" s="486"/>
    <row r="1338" hidden="1" ht="16" customHeight="1" s="486"/>
    <row r="1339" hidden="1" ht="16" customHeight="1" s="486"/>
    <row r="1340" hidden="1" ht="16" customHeight="1" s="486"/>
    <row r="1341" hidden="1" ht="16" customHeight="1" s="486"/>
    <row r="1342" hidden="1" ht="16" customHeight="1" s="486"/>
    <row r="1343" hidden="1" ht="16" customHeight="1" s="486"/>
    <row r="1344" hidden="1" ht="16" customHeight="1" s="486"/>
    <row r="1345" hidden="1" ht="16" customHeight="1" s="486"/>
    <row r="1346" hidden="1" ht="16" customHeight="1" s="486"/>
    <row r="1347" hidden="1" ht="16" customHeight="1" s="486"/>
    <row r="1348" hidden="1" ht="16" customHeight="1" s="486"/>
    <row r="1349" hidden="1" ht="16" customHeight="1" s="486"/>
    <row r="1350" hidden="1" ht="16" customHeight="1" s="486"/>
    <row r="1351" hidden="1" ht="16" customHeight="1" s="486"/>
    <row r="1352" hidden="1" ht="16" customHeight="1" s="486"/>
    <row r="1353" hidden="1" ht="16" customHeight="1" s="486"/>
    <row r="1354" hidden="1" ht="16" customHeight="1" s="486"/>
    <row r="1355" hidden="1" ht="16" customHeight="1" s="486"/>
    <row r="1356" hidden="1" ht="16" customHeight="1" s="486"/>
    <row r="1357" hidden="1" ht="16" customHeight="1" s="486"/>
    <row r="1358" hidden="1" ht="16" customHeight="1" s="486"/>
    <row r="1359" hidden="1" ht="16" customHeight="1" s="486"/>
    <row r="1360" hidden="1" ht="16" customHeight="1" s="486"/>
    <row r="1361" hidden="1" ht="16" customHeight="1" s="486"/>
    <row r="1362" hidden="1" ht="16" customHeight="1" s="486"/>
    <row r="1363" hidden="1" ht="16" customHeight="1" s="486"/>
    <row r="1364" hidden="1" ht="16" customHeight="1" s="486"/>
    <row r="1365" hidden="1" ht="16" customHeight="1" s="486"/>
    <row r="1366" hidden="1" ht="16" customHeight="1" s="486"/>
    <row r="1367" hidden="1" ht="16" customHeight="1" s="486"/>
    <row r="1368" hidden="1" ht="16" customHeight="1" s="486"/>
    <row r="1369" hidden="1" ht="16" customHeight="1" s="486"/>
    <row r="1370" hidden="1" ht="16" customHeight="1" s="486"/>
    <row r="1371" hidden="1" ht="16" customHeight="1" s="486"/>
    <row r="1372" hidden="1" ht="16" customHeight="1" s="486"/>
    <row r="1373" hidden="1" ht="16" customHeight="1" s="486"/>
    <row r="1374" hidden="1" ht="16" customHeight="1" s="486"/>
    <row r="1375" hidden="1" ht="16" customHeight="1" s="486"/>
    <row r="1376" hidden="1" ht="16" customHeight="1" s="486"/>
    <row r="1377" hidden="1" ht="16" customHeight="1" s="486"/>
    <row r="1378" hidden="1" ht="16" customHeight="1" s="486"/>
    <row r="1379" hidden="1" ht="16" customHeight="1" s="486"/>
    <row r="1380" hidden="1" ht="16" customHeight="1" s="486"/>
    <row r="1381" hidden="1" ht="16" customHeight="1" s="486"/>
    <row r="1382" hidden="1" ht="16" customHeight="1" s="486"/>
    <row r="1383" hidden="1" ht="16" customHeight="1" s="486"/>
    <row r="1384" hidden="1" ht="16" customHeight="1" s="486"/>
    <row r="1385" hidden="1" ht="16" customHeight="1" s="486"/>
    <row r="1386" hidden="1" ht="16" customHeight="1" s="486"/>
    <row r="1387" hidden="1" ht="16" customHeight="1" s="486"/>
    <row r="1388" hidden="1" ht="16" customHeight="1" s="486"/>
    <row r="1389" hidden="1" ht="16" customHeight="1" s="486"/>
    <row r="1390" hidden="1" ht="16" customHeight="1" s="486"/>
    <row r="1391" hidden="1" ht="16" customHeight="1" s="486"/>
    <row r="1392" hidden="1" ht="16" customHeight="1" s="486"/>
    <row r="1393" hidden="1" ht="16" customHeight="1" s="486"/>
    <row r="1394" hidden="1" ht="16" customHeight="1" s="486"/>
    <row r="1395" hidden="1" ht="16" customHeight="1" s="486"/>
    <row r="1396" hidden="1" ht="16" customHeight="1" s="486"/>
    <row r="1397" hidden="1" ht="16" customHeight="1" s="486"/>
    <row r="1398" hidden="1" ht="16" customHeight="1" s="486"/>
    <row r="1399" hidden="1" ht="16" customHeight="1" s="486"/>
    <row r="1400" hidden="1" ht="16" customHeight="1" s="486"/>
    <row r="1401" hidden="1" ht="16" customHeight="1" s="486"/>
    <row r="1402" hidden="1" ht="16" customHeight="1" s="486"/>
    <row r="1403" hidden="1" ht="16" customHeight="1" s="486"/>
    <row r="1404" hidden="1" ht="16" customHeight="1" s="486"/>
    <row r="1405" hidden="1" ht="16" customHeight="1" s="486"/>
    <row r="1406" hidden="1" ht="16" customHeight="1" s="486"/>
    <row r="1407" hidden="1" ht="16" customHeight="1" s="486"/>
    <row r="1408" hidden="1" ht="16" customHeight="1" s="486"/>
    <row r="1409" hidden="1" ht="16" customHeight="1" s="486"/>
    <row r="1410" hidden="1" ht="16" customHeight="1" s="486"/>
    <row r="1411" hidden="1" ht="16" customHeight="1" s="486"/>
    <row r="1412" hidden="1" ht="16" customHeight="1" s="486"/>
    <row r="1413" hidden="1" ht="16" customHeight="1" s="486"/>
    <row r="1414" hidden="1" ht="16" customHeight="1" s="486"/>
    <row r="1415" hidden="1" ht="16" customHeight="1" s="486"/>
    <row r="1416" hidden="1" ht="16" customHeight="1" s="486"/>
    <row r="1417" hidden="1" ht="16" customHeight="1" s="486"/>
    <row r="1418" hidden="1" ht="16" customHeight="1" s="486"/>
    <row r="1419" hidden="1" ht="16" customHeight="1" s="486"/>
    <row r="1420" hidden="1" ht="16" customHeight="1" s="486"/>
    <row r="1421" hidden="1" ht="16" customHeight="1" s="486"/>
    <row r="1422" hidden="1" ht="16" customHeight="1" s="486"/>
    <row r="1423" hidden="1" ht="16" customHeight="1" s="486"/>
    <row r="1424" hidden="1" ht="16" customHeight="1" s="486"/>
    <row r="1425" hidden="1" ht="16" customHeight="1" s="486"/>
    <row r="1426" hidden="1" ht="16" customHeight="1" s="486"/>
    <row r="1427" hidden="1" ht="16" customHeight="1" s="486"/>
    <row r="1428" hidden="1" ht="16" customHeight="1" s="486"/>
    <row r="1429" hidden="1" ht="16" customHeight="1" s="486"/>
    <row r="1430" hidden="1" ht="16" customHeight="1" s="486"/>
    <row r="1431" hidden="1" ht="16" customHeight="1" s="486"/>
    <row r="1432" hidden="1" ht="16" customHeight="1" s="486"/>
    <row r="1433" hidden="1" ht="16" customHeight="1" s="486"/>
    <row r="1434" hidden="1" ht="16" customHeight="1" s="486"/>
    <row r="1435" hidden="1" ht="16" customHeight="1" s="486"/>
    <row r="1436" hidden="1" ht="16" customHeight="1" s="486"/>
    <row r="1437" hidden="1" ht="16" customHeight="1" s="486"/>
    <row r="1438" hidden="1" ht="16" customHeight="1" s="486"/>
    <row r="1439" hidden="1" ht="16" customHeight="1" s="486"/>
    <row r="1440" hidden="1" ht="16" customHeight="1" s="486"/>
    <row r="1441" hidden="1" ht="16" customHeight="1" s="486"/>
    <row r="1442" hidden="1" ht="16" customHeight="1" s="486"/>
    <row r="1443" hidden="1" ht="16" customHeight="1" s="486"/>
    <row r="1444" hidden="1" ht="16" customHeight="1" s="486"/>
    <row r="1445" hidden="1" ht="16" customHeight="1" s="486"/>
    <row r="1446" hidden="1" ht="16" customHeight="1" s="486"/>
    <row r="1447" hidden="1" ht="16" customHeight="1" s="486"/>
    <row r="1448" hidden="1" ht="16" customHeight="1" s="486"/>
    <row r="1449" hidden="1" ht="16" customHeight="1" s="486"/>
    <row r="1450" hidden="1" ht="16" customHeight="1" s="486"/>
    <row r="1451" hidden="1" ht="16" customHeight="1" s="486"/>
    <row r="1452" hidden="1" ht="16" customHeight="1" s="486"/>
    <row r="1453" hidden="1" ht="16" customHeight="1" s="486"/>
    <row r="1454" hidden="1" ht="16" customHeight="1" s="486"/>
    <row r="1455" hidden="1" ht="16" customHeight="1" s="486"/>
    <row r="1456" hidden="1" ht="16" customHeight="1" s="486"/>
    <row r="1457" hidden="1" ht="16" customHeight="1" s="486"/>
    <row r="1458" hidden="1" ht="16" customHeight="1" s="486"/>
    <row r="1459" hidden="1" ht="16" customHeight="1" s="486"/>
    <row r="1460" hidden="1" ht="16" customHeight="1" s="486"/>
    <row r="1461" hidden="1" ht="16" customHeight="1" s="486"/>
    <row r="1462" hidden="1" ht="16" customHeight="1" s="486"/>
    <row r="1463" hidden="1" ht="16" customHeight="1" s="486"/>
    <row r="1464" hidden="1" ht="16" customHeight="1" s="486"/>
    <row r="1465" hidden="1" ht="16" customHeight="1" s="486"/>
    <row r="1466" hidden="1" ht="16" customHeight="1" s="486"/>
    <row r="1467" hidden="1" ht="16" customHeight="1" s="486"/>
    <row r="1468" hidden="1" ht="16" customHeight="1" s="486"/>
    <row r="1469" hidden="1" ht="16" customHeight="1" s="486"/>
    <row r="1470" hidden="1" ht="16" customHeight="1" s="486"/>
    <row r="1471" hidden="1" ht="16" customHeight="1" s="486"/>
    <row r="1472" hidden="1" ht="16" customHeight="1" s="486"/>
    <row r="1473" hidden="1" ht="16" customHeight="1" s="486"/>
    <row r="1474" hidden="1" ht="16" customHeight="1" s="486"/>
    <row r="1475" hidden="1" ht="16" customHeight="1" s="486"/>
    <row r="1476" hidden="1" ht="16" customHeight="1" s="486"/>
    <row r="1477" hidden="1" ht="16" customHeight="1" s="486"/>
    <row r="1478" hidden="1" ht="16" customHeight="1" s="486"/>
    <row r="1479" hidden="1" ht="16" customHeight="1" s="486"/>
    <row r="1480" hidden="1" ht="16" customHeight="1" s="486"/>
    <row r="1481" hidden="1" ht="16" customHeight="1" s="486"/>
    <row r="1482" hidden="1" ht="16" customHeight="1" s="486"/>
    <row r="1483" hidden="1" ht="16" customHeight="1" s="486"/>
    <row r="1484" hidden="1" ht="16" customHeight="1" s="486"/>
    <row r="1485" hidden="1" ht="16" customHeight="1" s="486"/>
    <row r="1486" hidden="1" ht="16" customHeight="1" s="486"/>
    <row r="1487" hidden="1" ht="16" customHeight="1" s="486"/>
    <row r="1488" hidden="1" ht="16" customHeight="1" s="486"/>
    <row r="1489" hidden="1" ht="16" customHeight="1" s="486"/>
    <row r="1490" hidden="1" ht="16" customHeight="1" s="486"/>
    <row r="1491" hidden="1" ht="16" customHeight="1" s="486"/>
    <row r="1492" hidden="1" ht="16" customHeight="1" s="486"/>
    <row r="1493" hidden="1" ht="16" customHeight="1" s="486"/>
    <row r="1494" hidden="1" ht="16" customHeight="1" s="486"/>
    <row r="1495" hidden="1" ht="16" customHeight="1" s="486"/>
    <row r="1496" hidden="1" ht="16" customHeight="1" s="486"/>
    <row r="1497" hidden="1" ht="16" customHeight="1" s="486"/>
    <row r="1498" hidden="1" ht="16" customHeight="1" s="486"/>
    <row r="1499" hidden="1" ht="16" customHeight="1" s="486"/>
    <row r="1500" hidden="1" ht="16" customHeight="1" s="486"/>
    <row r="1501" hidden="1" ht="16" customHeight="1" s="486"/>
    <row r="1502" hidden="1" ht="16" customHeight="1" s="486"/>
    <row r="1503" hidden="1" ht="16" customHeight="1" s="486"/>
    <row r="1504" hidden="1" ht="16" customHeight="1" s="486"/>
    <row r="1505" hidden="1" ht="16" customHeight="1" s="486"/>
    <row r="1506" hidden="1" ht="16" customHeight="1" s="486"/>
    <row r="1507" hidden="1" ht="16" customHeight="1" s="486"/>
    <row r="1508" hidden="1" ht="16" customHeight="1" s="486"/>
    <row r="1509" hidden="1" ht="16" customHeight="1" s="486"/>
    <row r="1510" hidden="1" ht="16" customHeight="1" s="486"/>
    <row r="1511" hidden="1" ht="16" customHeight="1" s="486"/>
    <row r="1512" hidden="1" ht="16" customHeight="1" s="486"/>
    <row r="1513" hidden="1" ht="16" customHeight="1" s="486"/>
    <row r="1514" hidden="1" ht="16" customHeight="1" s="486"/>
    <row r="1515" hidden="1" ht="16" customHeight="1" s="486"/>
    <row r="1516" hidden="1" ht="16" customHeight="1" s="486"/>
    <row r="1517" hidden="1" ht="16" customHeight="1" s="486"/>
    <row r="1518" hidden="1" ht="16" customHeight="1" s="486"/>
    <row r="1519" hidden="1" ht="16" customHeight="1" s="486"/>
    <row r="1520" hidden="1" ht="16" customHeight="1" s="486"/>
    <row r="1521" hidden="1" ht="16" customHeight="1" s="486"/>
    <row r="1522" hidden="1" ht="16" customHeight="1" s="486"/>
    <row r="1523" hidden="1" ht="16" customHeight="1" s="486"/>
    <row r="1524" hidden="1" ht="16" customHeight="1" s="486"/>
    <row r="1525" hidden="1" ht="16" customHeight="1" s="486"/>
    <row r="1526" hidden="1" ht="16" customHeight="1" s="486"/>
    <row r="1527" hidden="1" ht="16" customHeight="1" s="486"/>
    <row r="1528" hidden="1" ht="16" customHeight="1" s="486"/>
    <row r="1529" hidden="1" ht="16" customHeight="1" s="486"/>
    <row r="1530" hidden="1" ht="16" customHeight="1" s="486"/>
    <row r="1531" hidden="1" ht="16" customHeight="1" s="486"/>
    <row r="1532" hidden="1" ht="16" customHeight="1" s="486"/>
    <row r="1533" hidden="1" ht="16" customHeight="1" s="486"/>
    <row r="1534" hidden="1" ht="16" customHeight="1" s="486"/>
    <row r="1535" hidden="1" ht="16" customHeight="1" s="486"/>
    <row r="1536" hidden="1" ht="16" customHeight="1" s="486"/>
    <row r="1537" hidden="1" ht="16" customHeight="1" s="486"/>
    <row r="1538" hidden="1" ht="16" customHeight="1" s="486"/>
    <row r="1539" hidden="1" ht="16" customHeight="1" s="486"/>
    <row r="1540" hidden="1" ht="16" customHeight="1" s="486"/>
    <row r="1541" hidden="1" ht="16" customHeight="1" s="486"/>
    <row r="1542" hidden="1" ht="16" customHeight="1" s="486"/>
    <row r="1543" hidden="1" ht="16" customHeight="1" s="486"/>
    <row r="1544" hidden="1" ht="16" customHeight="1" s="486"/>
    <row r="1545" hidden="1" ht="16" customHeight="1" s="486"/>
    <row r="1546" hidden="1" ht="16" customHeight="1" s="486"/>
    <row r="1547" hidden="1" ht="16" customHeight="1" s="486"/>
    <row r="1548" hidden="1" ht="16" customHeight="1" s="486"/>
    <row r="1549" hidden="1" ht="16" customHeight="1" s="486"/>
    <row r="1550" hidden="1" ht="16" customHeight="1" s="486"/>
    <row r="1551" hidden="1" ht="16" customHeight="1" s="486"/>
    <row r="1552" hidden="1" ht="16" customHeight="1" s="486"/>
    <row r="1553" hidden="1" ht="16" customHeight="1" s="486"/>
    <row r="1554" hidden="1" ht="16" customHeight="1" s="486"/>
    <row r="1555" hidden="1" ht="16" customHeight="1" s="486"/>
    <row r="1556" hidden="1" ht="16" customHeight="1" s="486"/>
    <row r="1557" hidden="1" ht="16" customHeight="1" s="486"/>
    <row r="1558" hidden="1" ht="16" customHeight="1" s="486"/>
    <row r="1559" hidden="1" ht="16" customHeight="1" s="486"/>
    <row r="1560" hidden="1" ht="16" customHeight="1" s="486"/>
    <row r="1561" hidden="1" ht="16" customHeight="1" s="486"/>
    <row r="1562" hidden="1" ht="16" customHeight="1" s="486"/>
    <row r="1563" hidden="1" ht="16" customHeight="1" s="486"/>
    <row r="1564" hidden="1" ht="16" customHeight="1" s="486"/>
    <row r="1565" hidden="1" ht="16" customHeight="1" s="486"/>
    <row r="1566" hidden="1" ht="16" customHeight="1" s="486"/>
    <row r="1567" hidden="1" ht="16" customHeight="1" s="486"/>
    <row r="1568" hidden="1" ht="16" customHeight="1" s="486"/>
    <row r="1569" hidden="1" ht="16" customHeight="1" s="486"/>
    <row r="1570" hidden="1" ht="16" customHeight="1" s="486"/>
    <row r="1571" hidden="1" ht="16" customHeight="1" s="486"/>
    <row r="1572" hidden="1" ht="16" customHeight="1" s="486"/>
    <row r="1573" hidden="1" ht="16" customHeight="1" s="486"/>
    <row r="1574" hidden="1" ht="16" customHeight="1" s="486"/>
    <row r="1575" hidden="1" ht="16" customHeight="1" s="486"/>
    <row r="1576" hidden="1" ht="16" customHeight="1" s="486"/>
    <row r="1577" hidden="1" ht="16" customHeight="1" s="486"/>
    <row r="1578" hidden="1" ht="16" customHeight="1" s="486"/>
    <row r="1579" hidden="1" ht="16" customHeight="1" s="486"/>
    <row r="1580" hidden="1" ht="16" customHeight="1" s="486"/>
    <row r="1581" hidden="1" ht="16" customHeight="1" s="486"/>
    <row r="1582" hidden="1" ht="16" customHeight="1" s="486"/>
    <row r="1583" hidden="1" ht="16" customHeight="1" s="486"/>
    <row r="1584" hidden="1" ht="16" customHeight="1" s="486"/>
    <row r="1585" hidden="1" ht="16" customHeight="1" s="486"/>
    <row r="1586" hidden="1" ht="16" customHeight="1" s="486"/>
    <row r="1587" hidden="1" ht="16" customHeight="1" s="486"/>
    <row r="1588" hidden="1" ht="16" customHeight="1" s="486"/>
    <row r="1589" hidden="1" ht="16" customHeight="1" s="486"/>
    <row r="1590" hidden="1" ht="16" customHeight="1" s="486"/>
    <row r="1591" hidden="1" ht="16" customHeight="1" s="486"/>
    <row r="1592" hidden="1" ht="16" customHeight="1" s="486"/>
    <row r="1593" hidden="1" ht="16" customHeight="1" s="486"/>
    <row r="1594" hidden="1" ht="16" customHeight="1" s="486"/>
    <row r="1595" hidden="1" ht="16" customHeight="1" s="486"/>
    <row r="1596" hidden="1" ht="16" customHeight="1" s="486"/>
    <row r="1597" hidden="1" ht="16" customHeight="1" s="486"/>
    <row r="1598" hidden="1" ht="16" customHeight="1" s="486"/>
    <row r="1599" hidden="1" ht="16" customHeight="1" s="486"/>
    <row r="1600" hidden="1" ht="16" customHeight="1" s="486"/>
    <row r="1601" hidden="1" ht="16" customHeight="1" s="486"/>
    <row r="1602" hidden="1" ht="16" customHeight="1" s="486"/>
    <row r="1603" hidden="1" ht="16" customHeight="1" s="486"/>
    <row r="1604" hidden="1" ht="16" customHeight="1" s="486"/>
    <row r="1605" hidden="1" ht="16" customHeight="1" s="486"/>
    <row r="1606" hidden="1" ht="16" customHeight="1" s="486"/>
    <row r="1607" hidden="1" ht="16" customHeight="1" s="486"/>
    <row r="1608" hidden="1" ht="16" customHeight="1" s="486"/>
    <row r="1609" hidden="1" ht="16" customHeight="1" s="486"/>
    <row r="1610" hidden="1" ht="16" customHeight="1" s="486"/>
    <row r="1611" hidden="1" ht="16" customHeight="1" s="486"/>
    <row r="1612" hidden="1" ht="16" customHeight="1" s="486"/>
    <row r="1613" hidden="1" ht="16" customHeight="1" s="486"/>
    <row r="1614" hidden="1" ht="16" customHeight="1" s="486"/>
    <row r="1615" hidden="1" ht="16" customHeight="1" s="486"/>
    <row r="1616" hidden="1" ht="16" customHeight="1" s="486"/>
    <row r="1617" hidden="1" ht="16" customHeight="1" s="486"/>
    <row r="1618" hidden="1" ht="16" customHeight="1" s="486"/>
    <row r="1619" hidden="1" ht="16" customHeight="1" s="486"/>
    <row r="1620" hidden="1" ht="16" customHeight="1" s="486"/>
    <row r="1621" hidden="1" ht="16" customHeight="1" s="486"/>
    <row r="1622" hidden="1" ht="16" customHeight="1" s="486"/>
    <row r="1623" hidden="1" ht="16" customHeight="1" s="486"/>
    <row r="1624" hidden="1" ht="16" customHeight="1" s="486"/>
    <row r="1625" hidden="1" ht="16" customHeight="1" s="486"/>
    <row r="1626" hidden="1" ht="16" customHeight="1" s="486"/>
    <row r="1627" hidden="1" ht="16" customHeight="1" s="486"/>
    <row r="1628" hidden="1" ht="16" customHeight="1" s="486"/>
    <row r="1629" hidden="1" ht="16" customHeight="1" s="486"/>
    <row r="1630" hidden="1" ht="16" customHeight="1" s="486"/>
    <row r="1631" hidden="1" ht="16" customHeight="1" s="486"/>
    <row r="1632" hidden="1" ht="16" customHeight="1" s="486"/>
    <row r="1633" hidden="1" ht="16" customHeight="1" s="486"/>
    <row r="1634" hidden="1" ht="16" customHeight="1" s="486"/>
    <row r="1635" hidden="1" ht="16" customHeight="1" s="486"/>
    <row r="1636" hidden="1" ht="16" customHeight="1" s="486"/>
    <row r="1637" hidden="1" ht="16" customHeight="1" s="486"/>
    <row r="1638" hidden="1" ht="16" customHeight="1" s="486"/>
    <row r="1639" hidden="1" ht="16" customHeight="1" s="486"/>
    <row r="1640" hidden="1" ht="16" customHeight="1" s="486"/>
    <row r="1641" hidden="1" ht="16" customHeight="1" s="486"/>
    <row r="1642" hidden="1" ht="16" customHeight="1" s="486"/>
    <row r="1643" hidden="1" ht="16" customHeight="1" s="486"/>
    <row r="1644" hidden="1" ht="16" customHeight="1" s="486"/>
    <row r="1645" hidden="1" ht="16" customHeight="1" s="486"/>
    <row r="1646" hidden="1" ht="16" customHeight="1" s="486"/>
    <row r="1647" hidden="1" ht="16" customHeight="1" s="486"/>
    <row r="1648" hidden="1" ht="16" customHeight="1" s="486"/>
    <row r="1649" hidden="1" ht="16" customHeight="1" s="486"/>
    <row r="1650" hidden="1" ht="16" customHeight="1" s="486"/>
    <row r="1651" hidden="1" ht="16" customHeight="1" s="486"/>
    <row r="1652" hidden="1" ht="16" customHeight="1" s="486"/>
    <row r="1653" hidden="1" ht="16" customHeight="1" s="486"/>
    <row r="1654" hidden="1" ht="16" customHeight="1" s="486"/>
    <row r="1655" hidden="1" ht="16" customHeight="1" s="486"/>
    <row r="1656" hidden="1" ht="16" customHeight="1" s="486"/>
    <row r="1657" hidden="1" ht="16" customHeight="1" s="486"/>
    <row r="1658" hidden="1" ht="16" customHeight="1" s="486"/>
    <row r="1659" hidden="1" ht="16" customHeight="1" s="486"/>
    <row r="1660" hidden="1" ht="16" customHeight="1" s="486"/>
    <row r="1661" hidden="1" ht="16" customHeight="1" s="486"/>
    <row r="1662" hidden="1" ht="16" customHeight="1" s="486"/>
    <row r="1663" hidden="1" ht="16" customHeight="1" s="486"/>
    <row r="1664" hidden="1" ht="16" customHeight="1" s="486"/>
    <row r="1665" hidden="1" ht="16" customHeight="1" s="486"/>
    <row r="1666" hidden="1" ht="16" customHeight="1" s="486"/>
    <row r="1667" hidden="1" ht="16" customHeight="1" s="486"/>
    <row r="1668" hidden="1" ht="16" customHeight="1" s="486"/>
    <row r="1669" hidden="1" ht="16" customHeight="1" s="486"/>
    <row r="1670" hidden="1" ht="16" customHeight="1" s="486"/>
    <row r="1671" hidden="1" ht="16" customHeight="1" s="486"/>
    <row r="1672" hidden="1" ht="16" customHeight="1" s="486"/>
    <row r="1673" hidden="1" ht="16" customHeight="1" s="486"/>
    <row r="1674" hidden="1" ht="16" customHeight="1" s="486"/>
    <row r="1675" hidden="1" ht="16" customHeight="1" s="486"/>
    <row r="1676" hidden="1" ht="16" customHeight="1" s="486"/>
    <row r="1677" hidden="1" ht="16" customHeight="1" s="486"/>
    <row r="1678" hidden="1" ht="16" customHeight="1" s="486"/>
    <row r="1679" hidden="1" ht="16" customHeight="1" s="486"/>
    <row r="1680" hidden="1" ht="16" customHeight="1" s="486"/>
    <row r="1681" hidden="1" ht="16" customHeight="1" s="486"/>
    <row r="1682" hidden="1" ht="16" customHeight="1" s="486"/>
    <row r="1683" hidden="1" ht="16" customHeight="1" s="486"/>
    <row r="1684" hidden="1" ht="16" customHeight="1" s="486"/>
    <row r="1685" hidden="1" ht="16" customHeight="1" s="486"/>
    <row r="1686" hidden="1" ht="16" customHeight="1" s="486"/>
    <row r="1687" hidden="1" ht="16" customHeight="1" s="486"/>
    <row r="1688" hidden="1" ht="16" customHeight="1" s="486"/>
    <row r="1689" hidden="1" ht="16" customHeight="1" s="486"/>
    <row r="1690" hidden="1" ht="16" customHeight="1" s="486"/>
    <row r="1691" hidden="1" ht="16" customHeight="1" s="486"/>
    <row r="1692" hidden="1" ht="16" customHeight="1" s="486"/>
    <row r="1693" hidden="1" ht="16" customHeight="1" s="486"/>
    <row r="1694" hidden="1" ht="16" customHeight="1" s="486"/>
    <row r="1695" hidden="1" ht="16" customHeight="1" s="486"/>
    <row r="1696" hidden="1" ht="16" customHeight="1" s="486"/>
    <row r="1697" hidden="1" ht="16" customHeight="1" s="486"/>
    <row r="1698" hidden="1" ht="16" customHeight="1" s="486"/>
    <row r="1699" hidden="1" ht="16" customHeight="1" s="486"/>
    <row r="1700" hidden="1" ht="16" customHeight="1" s="486"/>
    <row r="1701" hidden="1" ht="16" customHeight="1" s="486"/>
    <row r="1702" hidden="1" ht="16" customHeight="1" s="486"/>
    <row r="1703" hidden="1" ht="16" customHeight="1" s="486"/>
    <row r="1704" hidden="1" ht="16" customHeight="1" s="486"/>
    <row r="1705" hidden="1" ht="16" customHeight="1" s="486"/>
    <row r="1706" hidden="1" ht="16" customHeight="1" s="486"/>
    <row r="1707" hidden="1" ht="16" customHeight="1" s="486"/>
    <row r="1708" hidden="1" ht="16" customHeight="1" s="486"/>
    <row r="1709" hidden="1" ht="16" customHeight="1" s="486"/>
    <row r="1710" hidden="1" ht="16" customHeight="1" s="486"/>
    <row r="1711" hidden="1" ht="16" customHeight="1" s="486"/>
    <row r="1712" hidden="1" ht="16" customHeight="1" s="486"/>
    <row r="1713" hidden="1" ht="16" customHeight="1" s="486"/>
    <row r="1714" hidden="1" ht="16" customHeight="1" s="486"/>
    <row r="1715" hidden="1" ht="16" customHeight="1" s="486"/>
    <row r="1716" hidden="1" ht="16" customHeight="1" s="486"/>
    <row r="1717" hidden="1" ht="16" customHeight="1" s="486"/>
    <row r="1718" hidden="1" ht="16" customHeight="1" s="486"/>
    <row r="1719" hidden="1" ht="16" customHeight="1" s="486"/>
    <row r="1720" hidden="1" ht="16" customHeight="1" s="486"/>
    <row r="1721" hidden="1" ht="16" customHeight="1" s="486"/>
    <row r="1722" hidden="1" ht="16" customHeight="1" s="486"/>
    <row r="1723" hidden="1" ht="16" customHeight="1" s="486"/>
    <row r="1724" hidden="1" ht="16" customHeight="1" s="486"/>
    <row r="1725" hidden="1" ht="16" customHeight="1" s="486"/>
    <row r="1726" hidden="1" ht="16" customHeight="1" s="486"/>
    <row r="1727" hidden="1" ht="16" customHeight="1" s="486"/>
    <row r="1728" hidden="1" ht="16" customHeight="1" s="486"/>
    <row r="1729" hidden="1" ht="16" customHeight="1" s="486"/>
    <row r="1730" hidden="1" ht="16" customHeight="1" s="486"/>
    <row r="1731" hidden="1" ht="16" customHeight="1" s="486"/>
    <row r="1732" hidden="1" ht="16" customHeight="1" s="486"/>
    <row r="1733" hidden="1" ht="16" customHeight="1" s="486"/>
    <row r="1734" hidden="1" ht="16" customHeight="1" s="486"/>
    <row r="1735" hidden="1" ht="16" customHeight="1" s="486"/>
    <row r="1736" hidden="1" ht="16" customHeight="1" s="486"/>
    <row r="1737" hidden="1" ht="16" customHeight="1" s="486"/>
    <row r="1738" hidden="1" ht="16" customHeight="1" s="486"/>
    <row r="1739" hidden="1" ht="16" customHeight="1" s="486"/>
    <row r="1740" hidden="1" ht="16" customHeight="1" s="486"/>
    <row r="1741" hidden="1" ht="16" customHeight="1" s="486"/>
    <row r="1742" hidden="1" ht="16" customHeight="1" s="486"/>
    <row r="1743" hidden="1" ht="16" customHeight="1" s="486"/>
    <row r="1744" hidden="1" ht="16" customHeight="1" s="486"/>
    <row r="1745" hidden="1" ht="16" customHeight="1" s="486"/>
    <row r="1746" hidden="1" ht="16" customHeight="1" s="486"/>
    <row r="1747" hidden="1" ht="16" customHeight="1" s="486"/>
    <row r="1748" hidden="1" ht="16" customHeight="1" s="486"/>
    <row r="1749" hidden="1" ht="16" customHeight="1" s="486"/>
    <row r="1750" hidden="1" ht="16" customHeight="1" s="486"/>
    <row r="1751" hidden="1" ht="16" customHeight="1" s="486"/>
    <row r="1752" hidden="1" ht="16" customHeight="1" s="486"/>
    <row r="1753" hidden="1" ht="16" customHeight="1" s="486"/>
    <row r="1754" hidden="1" ht="16" customHeight="1" s="486"/>
    <row r="1755" hidden="1" ht="16" customHeight="1" s="486"/>
    <row r="1756" hidden="1" ht="16" customHeight="1" s="486"/>
    <row r="1757" hidden="1" ht="16" customHeight="1" s="486"/>
    <row r="1758" hidden="1" ht="16" customHeight="1" s="486"/>
    <row r="1759" hidden="1" ht="16" customHeight="1" s="486"/>
    <row r="1760" hidden="1" ht="16" customHeight="1" s="486"/>
    <row r="1761" hidden="1" ht="16" customHeight="1" s="486"/>
    <row r="1762" hidden="1" ht="16" customHeight="1" s="486"/>
    <row r="1763" hidden="1" ht="16" customHeight="1" s="486"/>
    <row r="1764" hidden="1" ht="16" customHeight="1" s="486"/>
    <row r="1765" hidden="1" ht="16" customHeight="1" s="486"/>
    <row r="1766" hidden="1" ht="16" customHeight="1" s="486"/>
    <row r="1767" hidden="1" ht="16" customHeight="1" s="486"/>
    <row r="1768" hidden="1" ht="16" customHeight="1" s="486"/>
    <row r="1769" hidden="1" ht="16" customHeight="1" s="486"/>
    <row r="1770" hidden="1" ht="16" customHeight="1" s="486"/>
    <row r="1771" hidden="1" ht="16" customHeight="1" s="486"/>
    <row r="1772" hidden="1" ht="16" customHeight="1" s="486"/>
    <row r="1773" hidden="1" ht="16" customHeight="1" s="486"/>
    <row r="1774" hidden="1" ht="16" customHeight="1" s="486"/>
    <row r="1775" hidden="1" ht="16" customHeight="1" s="486"/>
    <row r="1776" hidden="1" ht="16" customHeight="1" s="486"/>
    <row r="1777" hidden="1" ht="16" customHeight="1" s="486"/>
    <row r="1778" hidden="1" ht="16" customHeight="1" s="486"/>
    <row r="1779" hidden="1" ht="16" customHeight="1" s="486"/>
    <row r="1780" hidden="1" ht="16" customHeight="1" s="486"/>
    <row r="1781" hidden="1" ht="16" customHeight="1" s="486"/>
    <row r="1782" hidden="1" ht="16" customHeight="1" s="486"/>
    <row r="1783" hidden="1" ht="16" customHeight="1" s="486"/>
    <row r="1784" hidden="1" ht="16" customHeight="1" s="486"/>
    <row r="1785" hidden="1" ht="16" customHeight="1" s="486"/>
    <row r="1786" hidden="1" ht="16" customHeight="1" s="486"/>
    <row r="1787" hidden="1" ht="16" customHeight="1" s="486"/>
    <row r="1788" hidden="1" ht="16" customHeight="1" s="486"/>
    <row r="1789" hidden="1" ht="16" customHeight="1" s="486"/>
    <row r="1790" hidden="1" ht="16" customHeight="1" s="486"/>
    <row r="1791" hidden="1" ht="16" customHeight="1" s="486"/>
    <row r="1792" hidden="1" ht="16" customHeight="1" s="486"/>
    <row r="1793" hidden="1" ht="16" customHeight="1" s="486"/>
    <row r="1794" hidden="1" ht="16" customHeight="1" s="486"/>
    <row r="1795" hidden="1" ht="6.75" customHeight="1" s="486"/>
  </sheetData>
  <sheetProtection selectLockedCells="0" selectUnlockedCells="0" algorithmName="SHA-512" sheet="1" objects="1" insertRows="1" insertHyperlinks="1" autoFilter="1" scenarios="1" formatColumns="1" deleteColumns="1" insertColumns="1" pivotTables="1" deleteRows="1" formatCells="1" saltValue="ooxHNr2NE2ROc79+moAh3Q==" formatRows="1" sort="1" spinCount="100000" hashValue="kZfFdiPG7vxSXeQFiv2bfMXIkCGD9FuGpjh016lmpYZAyMBoK/HM3f2E9UnOwwXM5t7XllPG1u7plUDmp3ML8Q=="/>
  <mergeCells count="17">
    <mergeCell ref="A95:I95"/>
    <mergeCell ref="A33:I33"/>
    <mergeCell ref="A107:I107"/>
    <mergeCell ref="A28:I28"/>
    <mergeCell ref="A103:I103"/>
    <mergeCell ref="A84:I84"/>
    <mergeCell ref="A1:I1"/>
    <mergeCell ref="B112:H112"/>
    <mergeCell ref="A78:I78"/>
    <mergeCell ref="A6:I6"/>
    <mergeCell ref="A105:I105"/>
    <mergeCell ref="A12:I12"/>
    <mergeCell ref="A35:I35"/>
    <mergeCell ref="A48:I48"/>
    <mergeCell ref="A20:I20"/>
    <mergeCell ref="A16:I16"/>
    <mergeCell ref="B121:H121"/>
  </mergeCells>
  <dataValidations xWindow="323" yWindow="667" count="3">
    <dataValidation sqref="C4:H5 C9:H11 C14:H15 C18:H19 C22:H27 C30:H32 C37:H46 C50:H77 C80:H83 C86:H94 C97:H102 C114:H118 C123:H127 I108"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B114:B118 B123:B127"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operator="lessThanOrEqual">
      <formula1>50</formula1>
    </dataValidation>
    <dataValidation sqref="C47:H47 C108:H108" showDropDown="0" showInputMessage="0" showErrorMessage="0" allowBlank="0" errorTitle="Data Error:" error="Please enter positive numeric value of length less than or equal to 15 digit." promptTitle="Numeric:" prompt="Enter numeric value of length less than or equal to 15 digit."/>
  </dataValidations>
  <pageMargins left="0.7" right="0.7" top="0.75" bottom="0.75" header="0.3" footer="0.3"/>
  <pageSetup orientation="portrait" paperSize="9"/>
  <drawing r:id="rId1"/>
</worksheet>
</file>

<file path=xl/worksheets/sheet11.xml><?xml version="1.0" encoding="utf-8"?>
<worksheet xmlns:r="http://schemas.openxmlformats.org/officeDocument/2006/relationships" xmlns="http://schemas.openxmlformats.org/spreadsheetml/2006/main">
  <sheetPr codeName="Sheet17">
    <outlinePr summaryBelow="1" summaryRight="1"/>
    <pageSetUpPr/>
  </sheetPr>
  <dimension ref="A1:E87"/>
  <sheetViews>
    <sheetView workbookViewId="0">
      <selection activeCell="C72" sqref="C72"/>
    </sheetView>
  </sheetViews>
  <sheetFormatPr baseColWidth="10" defaultColWidth="0" defaultRowHeight="16" zeroHeight="1"/>
  <cols>
    <col width="8.5" customWidth="1" style="519" min="1" max="1"/>
    <col width="80.6640625" customWidth="1" style="517" min="2" max="2"/>
    <col width="27.6640625" customWidth="1" style="517" min="3" max="4"/>
    <col width="14.33203125" customWidth="1" style="518" min="5" max="5"/>
    <col hidden="1" width="29.6640625" customWidth="1" style="517" min="6" max="6"/>
    <col hidden="1" width="29.6640625" customWidth="1" style="517" min="7" max="16384"/>
  </cols>
  <sheetData>
    <row r="1" ht="31.5" customHeight="1" s="486">
      <c r="A1" s="511">
        <f>CONCATENATE("Section C : Balance Sheet as on 31st December , ",SecA.RtnYear)</f>
        <v/>
      </c>
      <c r="B1" s="491" t="n"/>
      <c r="C1" s="491" t="n"/>
      <c r="D1" s="481" t="n"/>
      <c r="E1" s="187" t="n"/>
    </row>
    <row r="2" ht="21" customHeight="1" s="486">
      <c r="A2" s="545" t="inlineStr">
        <is>
          <t>Sr. No.</t>
        </is>
      </c>
      <c r="B2" s="545" t="inlineStr">
        <is>
          <t>Description</t>
        </is>
      </c>
      <c r="C2" s="545" t="inlineStr">
        <is>
          <t>Self (Ksh)</t>
        </is>
      </c>
      <c r="D2" s="545" t="inlineStr">
        <is>
          <t>Wife (Ksh)</t>
        </is>
      </c>
      <c r="E2" s="187" t="n"/>
    </row>
    <row r="3">
      <c r="A3" s="520" t="inlineStr">
        <is>
          <t>APPLICATION OF FUNDS</t>
        </is>
      </c>
      <c r="B3" s="491" t="n"/>
      <c r="C3" s="491" t="n"/>
      <c r="D3" s="481" t="n"/>
      <c r="E3" s="187" t="n"/>
    </row>
    <row r="4" ht="17" customHeight="1" s="486">
      <c r="A4" s="520" t="n">
        <v>1</v>
      </c>
      <c r="B4" s="138" t="inlineStr">
        <is>
          <t>Fixed Assets – Non Current Assets (1.1+1.2+1.3+1.4+1.5+1.6-1.7)</t>
        </is>
      </c>
      <c r="C4" s="189">
        <f>ROUND(SUM(BalSt.LandBuildingS,BalSt.PlantMachineryS,BalSt.MtrVehicleS,BalSt.FurnitureFixS,BalSt.OtherAstS,BalSt.IntangibleAstS),2)-ROUND(BalSt.AccumulatedDeprecnS,2)</f>
        <v/>
      </c>
      <c r="D4" s="189">
        <f>ROUND(SUM(BalSt.LandBuildingW,BalSt.PlantMachineryW,BalSt.MtrVehicleW,BalSt.FurnitureFixW,BalSt.OtherAstW,BalSt.IntangibleAstW),2)-ROUND(BalSt.AccumulatedDeprecnW,2)</f>
        <v/>
      </c>
      <c r="E4" s="187" t="n"/>
    </row>
    <row r="5" ht="17" customHeight="1" s="486">
      <c r="A5" s="521" t="n">
        <v>1.1</v>
      </c>
      <c r="B5" s="190" t="inlineStr">
        <is>
          <t>Land and Building</t>
        </is>
      </c>
      <c r="C5" s="191" t="n"/>
      <c r="D5" s="463" t="n"/>
      <c r="E5" s="187" t="n"/>
    </row>
    <row r="6" ht="17" customHeight="1" s="486">
      <c r="A6" s="521" t="n">
        <v>1.2</v>
      </c>
      <c r="B6" s="190" t="inlineStr">
        <is>
          <t>Plant and Machinery</t>
        </is>
      </c>
      <c r="C6" s="191" t="n"/>
      <c r="D6" s="463" t="n"/>
      <c r="E6" s="187" t="n"/>
    </row>
    <row r="7" ht="17" customHeight="1" s="486">
      <c r="A7" s="521" t="n">
        <v>1.3</v>
      </c>
      <c r="B7" s="190" t="inlineStr">
        <is>
          <t>Motor Vehicles</t>
        </is>
      </c>
      <c r="C7" s="191" t="n"/>
      <c r="D7" s="463" t="n"/>
      <c r="E7" s="187" t="n"/>
    </row>
    <row r="8" ht="17" customHeight="1" s="486">
      <c r="A8" s="521" t="n">
        <v>1.4</v>
      </c>
      <c r="B8" s="190" t="inlineStr">
        <is>
          <t>Furniture and Fixtures</t>
        </is>
      </c>
      <c r="C8" s="191" t="n"/>
      <c r="D8" s="463" t="n"/>
      <c r="E8" s="187" t="n"/>
    </row>
    <row r="9" ht="17" customHeight="1" s="486">
      <c r="A9" s="521" t="n">
        <v>1.5</v>
      </c>
      <c r="B9" s="190" t="inlineStr">
        <is>
          <t>Other Assets</t>
        </is>
      </c>
      <c r="C9" s="191" t="n"/>
      <c r="D9" s="463" t="n"/>
      <c r="E9" s="187" t="n"/>
    </row>
    <row r="10" ht="17" customHeight="1" s="486">
      <c r="A10" s="521" t="n">
        <v>1.6</v>
      </c>
      <c r="B10" s="190" t="inlineStr">
        <is>
          <t>Intangible Assets</t>
        </is>
      </c>
      <c r="C10" s="191" t="n"/>
      <c r="D10" s="463" t="n"/>
      <c r="E10" s="187" t="n"/>
    </row>
    <row r="11" ht="17" customHeight="1" s="486">
      <c r="A11" s="521" t="n">
        <v>1.7</v>
      </c>
      <c r="B11" s="190" t="inlineStr">
        <is>
          <t>Accumulated Depreciation / Amortisation</t>
        </is>
      </c>
      <c r="C11" s="191" t="n"/>
      <c r="D11" s="463" t="n"/>
      <c r="E11" s="187" t="n"/>
    </row>
    <row r="12">
      <c r="A12" s="521" t="n"/>
      <c r="B12" s="491" t="n"/>
      <c r="C12" s="491" t="n"/>
      <c r="D12" s="481" t="n"/>
      <c r="E12" s="187" t="n"/>
    </row>
    <row r="13" ht="17" customHeight="1" s="486">
      <c r="A13" s="520" t="n">
        <v>2</v>
      </c>
      <c r="B13" s="138" t="inlineStr">
        <is>
          <t>Investments (2.1+2.2+2.3+2.4+2.5)</t>
        </is>
      </c>
      <c r="C13" s="189">
        <f>SUM(C14:C18)</f>
        <v/>
      </c>
      <c r="D13" s="189">
        <f>SUM(D14:D18)</f>
        <v/>
      </c>
      <c r="E13" s="187" t="n"/>
    </row>
    <row r="14" ht="17" customHeight="1" s="486">
      <c r="A14" s="521" t="n">
        <v>2.1</v>
      </c>
      <c r="B14" s="190" t="inlineStr">
        <is>
          <t>Shares</t>
        </is>
      </c>
      <c r="C14" s="191" t="n"/>
      <c r="D14" s="463" t="n"/>
      <c r="E14" s="187" t="n"/>
    </row>
    <row r="15" ht="17" customHeight="1" s="486">
      <c r="A15" s="521" t="n">
        <v>2.2</v>
      </c>
      <c r="B15" s="190" t="inlineStr">
        <is>
          <t>Debentures</t>
        </is>
      </c>
      <c r="C15" s="191" t="n"/>
      <c r="D15" s="463" t="n"/>
      <c r="E15" s="187" t="n"/>
    </row>
    <row r="16" ht="17" customHeight="1" s="486">
      <c r="A16" s="521" t="n">
        <v>2.3</v>
      </c>
      <c r="B16" s="190" t="inlineStr">
        <is>
          <t>Fixed Deposits</t>
        </is>
      </c>
      <c r="C16" s="191" t="n"/>
      <c r="D16" s="463" t="n"/>
      <c r="E16" s="187" t="n"/>
    </row>
    <row r="17" ht="17" customHeight="1" s="486">
      <c r="A17" s="521" t="n">
        <v>2.4</v>
      </c>
      <c r="B17" s="190" t="inlineStr">
        <is>
          <t>Government Securities</t>
        </is>
      </c>
      <c r="C17" s="191" t="n"/>
      <c r="D17" s="463" t="n"/>
      <c r="E17" s="187" t="n"/>
    </row>
    <row r="18" ht="17" customHeight="1" s="486">
      <c r="A18" s="521" t="n">
        <v>2.5</v>
      </c>
      <c r="B18" s="190" t="inlineStr">
        <is>
          <t>Other Investments</t>
        </is>
      </c>
      <c r="C18" s="191" t="n"/>
      <c r="D18" s="463" t="n"/>
      <c r="E18" s="187" t="n"/>
    </row>
    <row r="19">
      <c r="A19" s="521" t="n"/>
      <c r="B19" s="491" t="n"/>
      <c r="C19" s="491" t="n"/>
      <c r="D19" s="481" t="n"/>
      <c r="E19" s="187" t="n"/>
    </row>
    <row r="20" ht="17" customHeight="1" s="486">
      <c r="A20" s="520" t="n">
        <v>3</v>
      </c>
      <c r="B20" s="138" t="inlineStr">
        <is>
          <t>Current Assets, Loans and Advances (3.1+3.2+3.3)</t>
        </is>
      </c>
      <c r="C20" s="189">
        <f>SUM(BalSt.TotalCrntAstS,BalSt.TotalLoanAdvnceS,BalSt.DeferredTxAstS)</f>
        <v/>
      </c>
      <c r="D20" s="189">
        <f>SUM(BalSt.TotalCrntAstW,BalSt.TotalLoanAdvnceW,BalSt.DeferredTxAstW)</f>
        <v/>
      </c>
      <c r="E20" s="187" t="n"/>
    </row>
    <row r="21" ht="17" customHeight="1" s="486">
      <c r="A21" s="520" t="n">
        <v>3.1</v>
      </c>
      <c r="B21" s="138" t="inlineStr">
        <is>
          <t>Current Assets (3.1.1+3.1.2+3.1.3+3.1.4)</t>
        </is>
      </c>
      <c r="C21" s="189">
        <f>SUM(BalSt.TotalInventoryS,BalSt.TotalRcvblDebtorsS,BalSt.TotalBalAvlblS,BalSt.OtherCrntAstS)</f>
        <v/>
      </c>
      <c r="D21" s="189">
        <f>SUM(BalSt.TotalInventoryW,BalSt.TotalRcvblDebtorsW,BalSt.TotalBalAvlblW,BalSt.OtherCrntAstW)</f>
        <v/>
      </c>
      <c r="E21" s="187" t="n"/>
    </row>
    <row r="22" ht="17" customHeight="1" s="486">
      <c r="A22" s="520" t="inlineStr">
        <is>
          <t>3.1.1</t>
        </is>
      </c>
      <c r="B22" s="138" t="inlineStr">
        <is>
          <t>Inventories (3.1.1.1+3.1.1.2+3.1.1.3+3.1.1.4)</t>
        </is>
      </c>
      <c r="C22" s="189">
        <f>SUM(BalSt.StrConsblePckMtrlS,BalSt.RwMaterialS,BalSt.WorkInProgsS,BalSt.FnsTrdGoodS)</f>
        <v/>
      </c>
      <c r="D22" s="189">
        <f>SUM(BalSt.StrConsblePckMtrlW,BalSt.RwMaterialW,BalSt.WorkInProgsW,BalSt.FnsTrdGoodW)</f>
        <v/>
      </c>
      <c r="E22" s="187" t="n"/>
    </row>
    <row r="23" ht="17" customHeight="1" s="486">
      <c r="A23" s="521" t="inlineStr">
        <is>
          <t>3.1.1.1</t>
        </is>
      </c>
      <c r="B23" s="190" t="inlineStr">
        <is>
          <t xml:space="preserve">Stores / Consumable including Packing Materials </t>
        </is>
      </c>
      <c r="C23" s="191" t="n"/>
      <c r="D23" s="463" t="n"/>
      <c r="E23" s="187" t="n"/>
    </row>
    <row r="24" ht="17" customHeight="1" s="486">
      <c r="A24" s="521" t="inlineStr">
        <is>
          <t>3.1.1.2</t>
        </is>
      </c>
      <c r="B24" s="190" t="inlineStr">
        <is>
          <t>Raw Materials (other than in 3.1.1.1)</t>
        </is>
      </c>
      <c r="C24" s="191" t="n"/>
      <c r="D24" s="463" t="n"/>
      <c r="E24" s="187" t="n"/>
    </row>
    <row r="25" ht="17" customHeight="1" s="486">
      <c r="A25" s="521" t="inlineStr">
        <is>
          <t>3.1.1.3</t>
        </is>
      </c>
      <c r="B25" s="190" t="inlineStr">
        <is>
          <t>Work-in-Progress</t>
        </is>
      </c>
      <c r="C25" s="191" t="n"/>
      <c r="D25" s="463" t="n"/>
      <c r="E25" s="187" t="n"/>
    </row>
    <row r="26" ht="17" customHeight="1" s="486">
      <c r="A26" s="521" t="inlineStr">
        <is>
          <t>3.1.1.4</t>
        </is>
      </c>
      <c r="B26" s="190" t="inlineStr">
        <is>
          <t>Trading / Manufactured goods (Finished Goods)</t>
        </is>
      </c>
      <c r="C26" s="191" t="n"/>
      <c r="D26" s="463" t="n"/>
      <c r="E26" s="187" t="n"/>
    </row>
    <row r="27">
      <c r="A27" s="521" t="n"/>
      <c r="B27" s="491" t="n"/>
      <c r="C27" s="491" t="n"/>
      <c r="D27" s="481" t="n"/>
      <c r="E27" s="187" t="n"/>
    </row>
    <row r="28" ht="17" customHeight="1" s="486">
      <c r="A28" s="520" t="inlineStr">
        <is>
          <t>3.1.2</t>
        </is>
      </c>
      <c r="B28" s="138" t="inlineStr">
        <is>
          <t>Accounts Receivable /Debtors (3.1.2.1+3.1.2.2+3.1.2.3)</t>
        </is>
      </c>
      <c r="C28" s="189">
        <f>SUM(BalSt.TrdRcvDebtrosS,BalSt.PrePaymntS,BalSt.OtherRcvblDebtorsS)</f>
        <v/>
      </c>
      <c r="D28" s="189">
        <f>SUM(BalSt.TrdRcvDebtrosW,BalSt.PrePaymntW,BalSt.OtherRcvblDebtorsW)</f>
        <v/>
      </c>
      <c r="E28" s="187" t="n"/>
    </row>
    <row r="29" ht="17" customHeight="1" s="486">
      <c r="A29" s="521" t="inlineStr">
        <is>
          <t>3.1.2.1</t>
        </is>
      </c>
      <c r="B29" s="190" t="inlineStr">
        <is>
          <t>Trade Receivables/Debtors</t>
        </is>
      </c>
      <c r="C29" s="191" t="n"/>
      <c r="D29" s="463" t="n"/>
      <c r="E29" s="187" t="n"/>
    </row>
    <row r="30" ht="17" customHeight="1" s="486">
      <c r="A30" s="521" t="inlineStr">
        <is>
          <t>3.1.2.2</t>
        </is>
      </c>
      <c r="B30" s="190" t="inlineStr">
        <is>
          <t>Prepayments</t>
        </is>
      </c>
      <c r="C30" s="191" t="n"/>
      <c r="D30" s="463" t="n"/>
      <c r="E30" s="187" t="n"/>
    </row>
    <row r="31" ht="17" customHeight="1" s="486">
      <c r="A31" s="521" t="inlineStr">
        <is>
          <t>3.1.2.3</t>
        </is>
      </c>
      <c r="B31" s="196" t="inlineStr">
        <is>
          <t>Other Receivables / Other Debtors</t>
        </is>
      </c>
      <c r="C31" s="191" t="n"/>
      <c r="D31" s="463" t="n"/>
      <c r="E31" s="187" t="n"/>
    </row>
    <row r="32">
      <c r="A32" s="521" t="n"/>
      <c r="B32" s="491" t="n"/>
      <c r="C32" s="491" t="n"/>
      <c r="D32" s="481" t="n"/>
      <c r="E32" s="187" t="n"/>
    </row>
    <row r="33" ht="17" customHeight="1" s="486">
      <c r="A33" s="520" t="inlineStr">
        <is>
          <t>3.1.3</t>
        </is>
      </c>
      <c r="B33" s="138" t="inlineStr">
        <is>
          <t>Cash and Bank Balance (3.1.3.1+3.1.3.2)</t>
        </is>
      </c>
      <c r="C33" s="189">
        <f>SUM(BalSt.BankBalS,BalSt.CashHndEqupmnS)</f>
        <v/>
      </c>
      <c r="D33" s="189">
        <f>SUM(BalSt.BankBalW,BalSt.CashHndEqupmnW)</f>
        <v/>
      </c>
      <c r="E33" s="187" t="n"/>
    </row>
    <row r="34" ht="17" customHeight="1" s="486">
      <c r="A34" s="521" t="inlineStr">
        <is>
          <t>3.1.3.1</t>
        </is>
      </c>
      <c r="B34" s="190" t="inlineStr">
        <is>
          <t>Bank Balance</t>
        </is>
      </c>
      <c r="C34" s="191" t="n"/>
      <c r="D34" s="463" t="n"/>
      <c r="E34" s="187" t="n"/>
    </row>
    <row r="35" ht="17" customHeight="1" s="486">
      <c r="A35" s="521" t="inlineStr">
        <is>
          <t>3.1.3.2</t>
        </is>
      </c>
      <c r="B35" s="190" t="inlineStr">
        <is>
          <t>Cash in Hand and Cash Equivalents</t>
        </is>
      </c>
      <c r="C35" s="191" t="n"/>
      <c r="D35" s="463" t="n"/>
      <c r="E35" s="187" t="n"/>
    </row>
    <row r="36">
      <c r="A36" s="521" t="n"/>
      <c r="B36" s="491" t="n"/>
      <c r="C36" s="491" t="n"/>
      <c r="D36" s="481" t="n"/>
      <c r="E36" s="187" t="n"/>
    </row>
    <row r="37" ht="17" customHeight="1" s="486">
      <c r="A37" s="520" t="inlineStr">
        <is>
          <t>3.1.4</t>
        </is>
      </c>
      <c r="B37" s="138" t="inlineStr">
        <is>
          <t>Other Current Assets</t>
        </is>
      </c>
      <c r="C37" s="191" t="n"/>
      <c r="D37" s="463" t="n"/>
      <c r="E37" s="187" t="n"/>
    </row>
    <row r="38">
      <c r="A38" s="521" t="n"/>
      <c r="B38" s="491" t="n"/>
      <c r="C38" s="491" t="n"/>
      <c r="D38" s="481" t="n"/>
      <c r="E38" s="187" t="n"/>
    </row>
    <row r="39" ht="17" customHeight="1" s="486">
      <c r="A39" s="520" t="n">
        <v>3.2</v>
      </c>
      <c r="B39" s="138" t="inlineStr">
        <is>
          <t>Loans and Advances (3.2.1+3.2.2+3.2.3+3.2.4)</t>
        </is>
      </c>
      <c r="C39" s="189">
        <f>SUM(BalSt.LoanRltPrtyS,BalSt.LoanAdvncStffS,BalSt.DepositS,BalSt.LoanAdvnceOthrS)</f>
        <v/>
      </c>
      <c r="D39" s="189">
        <f>SUM(BalSt.LoanRltPrtyW,BalSt.LoanAdvncStffW,BalSt.DepositW,BalSt.LoanAdvnceOthrW)</f>
        <v/>
      </c>
      <c r="E39" s="187" t="n"/>
    </row>
    <row r="40" ht="17" customHeight="1" s="486">
      <c r="A40" s="521" t="inlineStr">
        <is>
          <t>3.2.1</t>
        </is>
      </c>
      <c r="B40" s="190" t="inlineStr">
        <is>
          <t>Loans to Related Parties</t>
        </is>
      </c>
      <c r="C40" s="191" t="n"/>
      <c r="D40" s="463" t="n"/>
      <c r="E40" s="187" t="n"/>
    </row>
    <row r="41" ht="17" customHeight="1" s="486">
      <c r="A41" s="521" t="inlineStr">
        <is>
          <t>3.2.2</t>
        </is>
      </c>
      <c r="B41" s="190" t="inlineStr">
        <is>
          <t>Loans and Advances to Staff</t>
        </is>
      </c>
      <c r="C41" s="191" t="n"/>
      <c r="D41" s="463" t="n"/>
      <c r="E41" s="187" t="n"/>
    </row>
    <row r="42" ht="17" customHeight="1" s="486">
      <c r="A42" s="521" t="inlineStr">
        <is>
          <t>3.2.3</t>
        </is>
      </c>
      <c r="B42" s="190" t="inlineStr">
        <is>
          <t>Deposits (Other than Fixed Deposit)</t>
        </is>
      </c>
      <c r="C42" s="191" t="n"/>
      <c r="D42" s="463" t="n"/>
      <c r="E42" s="187" t="n"/>
    </row>
    <row r="43" ht="17" customHeight="1" s="486">
      <c r="A43" s="521" t="inlineStr">
        <is>
          <t>3.2.4</t>
        </is>
      </c>
      <c r="B43" s="190" t="inlineStr">
        <is>
          <t>Loans and Advances to Others</t>
        </is>
      </c>
      <c r="C43" s="191" t="n"/>
      <c r="D43" s="463" t="n"/>
      <c r="E43" s="187" t="n"/>
    </row>
    <row r="44">
      <c r="A44" s="521" t="n"/>
      <c r="B44" s="491" t="n"/>
      <c r="C44" s="491" t="n"/>
      <c r="D44" s="481" t="n"/>
      <c r="E44" s="187" t="n"/>
    </row>
    <row r="45" ht="17" customHeight="1" s="486">
      <c r="A45" s="520" t="n">
        <v>3.3</v>
      </c>
      <c r="B45" s="138" t="inlineStr">
        <is>
          <t>Deferred Tax Assets</t>
        </is>
      </c>
      <c r="C45" s="191" t="n"/>
      <c r="D45" s="463" t="n"/>
      <c r="E45" s="187" t="n"/>
    </row>
    <row r="46">
      <c r="A46" s="521" t="n"/>
      <c r="B46" s="491" t="n"/>
      <c r="C46" s="491" t="n"/>
      <c r="D46" s="481" t="n"/>
      <c r="E46" s="187" t="n"/>
    </row>
    <row r="47" ht="17" customHeight="1" s="486">
      <c r="A47" s="520" t="n">
        <v>4</v>
      </c>
      <c r="B47" s="138" t="inlineStr">
        <is>
          <t>Current Liabilities and Provisions (4.1+4.2)</t>
        </is>
      </c>
      <c r="C47" s="189">
        <f>SUM(BalSt.TotalCrntLiabtyS,BalSt.TotalPrvsnsS)</f>
        <v/>
      </c>
      <c r="D47" s="189">
        <f>SUM(BalSt.TotalCrntLiabtyW,BalSt.TotalPrvsnsW)</f>
        <v/>
      </c>
      <c r="E47" s="187" t="n"/>
    </row>
    <row r="48" ht="17" customHeight="1" s="486">
      <c r="A48" s="520" t="n">
        <v>4.1</v>
      </c>
      <c r="B48" s="138" t="inlineStr">
        <is>
          <t>Current Liabilities (4.1.1+4.1.2+4.1.3+4.1.4+4.1.5)</t>
        </is>
      </c>
      <c r="C48" s="189">
        <f>SUM(BalSt.TradePayblCrdtS,BalSt.LiabtyLeasAstS,BalSt.AccredInterestS,BalSt.OtherCrntLiabtyS,BalSt.BankOverDrftS)</f>
        <v/>
      </c>
      <c r="D48" s="189">
        <f>SUM(BalSt.TradePayblCrdtW,BalSt.LiabtyLeasAstW,BalSt.AccredInterestW,BalSt.OtherCrntLiabtyW,BalSt.BankOverDrftW)</f>
        <v/>
      </c>
      <c r="E48" s="187" t="n"/>
    </row>
    <row r="49" ht="17" customHeight="1" s="486">
      <c r="A49" s="521" t="inlineStr">
        <is>
          <t>4.1.1</t>
        </is>
      </c>
      <c r="B49" s="190" t="inlineStr">
        <is>
          <t xml:space="preserve">Trade Payables /Creditors </t>
        </is>
      </c>
      <c r="C49" s="191" t="n"/>
      <c r="D49" s="463" t="n"/>
      <c r="E49" s="187" t="n"/>
    </row>
    <row r="50" ht="17" customHeight="1" s="486">
      <c r="A50" s="521" t="inlineStr">
        <is>
          <t>4.1.2</t>
        </is>
      </c>
      <c r="B50" s="190" t="inlineStr">
        <is>
          <t>Liabilities for Leased Assets</t>
        </is>
      </c>
      <c r="C50" s="191" t="n"/>
      <c r="D50" s="463" t="n"/>
      <c r="E50" s="187" t="n"/>
    </row>
    <row r="51" ht="17" customHeight="1" s="486">
      <c r="A51" s="521" t="inlineStr">
        <is>
          <t>4.1.3</t>
        </is>
      </c>
      <c r="B51" s="190" t="inlineStr">
        <is>
          <t xml:space="preserve">Accrued Interest </t>
        </is>
      </c>
      <c r="C51" s="191" t="n"/>
      <c r="D51" s="463" t="n"/>
      <c r="E51" s="187" t="n"/>
    </row>
    <row r="52" ht="17" customHeight="1" s="486">
      <c r="A52" s="521" t="inlineStr">
        <is>
          <t>4.1.4</t>
        </is>
      </c>
      <c r="B52" s="190" t="inlineStr">
        <is>
          <t>Bank Overdrafts</t>
        </is>
      </c>
      <c r="C52" s="191" t="n"/>
      <c r="D52" s="463" t="n"/>
      <c r="E52" s="187" t="n"/>
    </row>
    <row r="53" ht="17" customHeight="1" s="486">
      <c r="A53" s="521" t="inlineStr">
        <is>
          <t>4.1.5</t>
        </is>
      </c>
      <c r="B53" s="190" t="inlineStr">
        <is>
          <t>Other Current Liabilities</t>
        </is>
      </c>
      <c r="C53" s="191" t="n"/>
      <c r="D53" s="463" t="n"/>
      <c r="E53" s="187" t="n"/>
    </row>
    <row r="54">
      <c r="A54" s="521" t="n"/>
      <c r="B54" s="491" t="n"/>
      <c r="C54" s="491" t="n"/>
      <c r="D54" s="481" t="n"/>
      <c r="E54" s="187" t="n"/>
    </row>
    <row r="55" ht="17" customHeight="1" s="486">
      <c r="A55" s="520" t="n">
        <v>4.2</v>
      </c>
      <c r="B55" s="138" t="inlineStr">
        <is>
          <t>Provisions (4.2.1+4.2.2+4.2.3)</t>
        </is>
      </c>
      <c r="C55" s="189">
        <f>SUM(BalSt.PrvsnsIncomeTxS,BalSt.PrvsnsBadDbtS,BalSt.OtherPrvsnsS)</f>
        <v/>
      </c>
      <c r="D55" s="189">
        <f>SUM(BalSt.PrvsnsIncomeTxW,BalSt.PrvsnsBadDbtW,BalSt.OtherPrvsnsW)</f>
        <v/>
      </c>
      <c r="E55" s="187" t="n"/>
    </row>
    <row r="56" ht="17" customHeight="1" s="486">
      <c r="A56" s="521" t="inlineStr">
        <is>
          <t>4.2.1</t>
        </is>
      </c>
      <c r="B56" s="190" t="inlineStr">
        <is>
          <t>Provision for Income Tax</t>
        </is>
      </c>
      <c r="C56" s="191" t="n"/>
      <c r="D56" s="463" t="n"/>
      <c r="E56" s="187" t="n"/>
    </row>
    <row r="57" ht="17" customHeight="1" s="486">
      <c r="A57" s="521" t="inlineStr">
        <is>
          <t>4.2.2</t>
        </is>
      </c>
      <c r="B57" s="190" t="inlineStr">
        <is>
          <t>Provision of Bad Debts</t>
        </is>
      </c>
      <c r="C57" s="191" t="n"/>
      <c r="D57" s="463" t="n"/>
      <c r="E57" s="187" t="n"/>
    </row>
    <row r="58" ht="17" customHeight="1" s="486">
      <c r="A58" s="521" t="inlineStr">
        <is>
          <t>4.2.3</t>
        </is>
      </c>
      <c r="B58" s="190" t="inlineStr">
        <is>
          <t>Other Provisions</t>
        </is>
      </c>
      <c r="C58" s="191" t="n"/>
      <c r="D58" s="463" t="n"/>
      <c r="E58" s="187" t="n"/>
    </row>
    <row r="59">
      <c r="A59" s="521" t="n"/>
      <c r="B59" s="491" t="n"/>
      <c r="C59" s="491" t="n"/>
      <c r="D59" s="481" t="n"/>
      <c r="E59" s="187" t="n"/>
    </row>
    <row r="60" ht="17" customHeight="1" s="486">
      <c r="A60" s="520" t="n">
        <v>5</v>
      </c>
      <c r="B60" s="180" t="inlineStr">
        <is>
          <t>Net Assets (1+2+3-4)</t>
        </is>
      </c>
      <c r="C60" s="189">
        <f>ROUND(SUM(BalSt.TotalFixAstS,BalSt.TotalInvstmntS,BalSt.TotalCrntAstLoanAdvncS),2)-ROUND(BalSt.TotalCrntLiabtyPrvsnsS,2)</f>
        <v/>
      </c>
      <c r="D60" s="189">
        <f>ROUND(SUM(BalSt.TotalFixAstW,BalSt.TotalInvstmntW,BalSt.TotalCrntAstLoanAdvncW),2)-ROUND(BalSt.TotalCrntLiabtyPrvsnsW,2)</f>
        <v/>
      </c>
      <c r="E60" s="187" t="n"/>
    </row>
    <row r="61">
      <c r="A61" s="520" t="inlineStr">
        <is>
          <t>FINANCE BY</t>
        </is>
      </c>
      <c r="B61" s="491" t="n"/>
      <c r="C61" s="491" t="n"/>
      <c r="D61" s="481" t="n"/>
      <c r="E61" s="187" t="n"/>
    </row>
    <row r="62" ht="17" customHeight="1" s="486">
      <c r="A62" s="520" t="n">
        <v>6</v>
      </c>
      <c r="B62" s="138" t="inlineStr">
        <is>
          <t>Total Proprietor's  Capital and Reserves (6.1+6.2+6.3+6.4+6.5+6.6)</t>
        </is>
      </c>
      <c r="C62" s="189">
        <f>SUM(BalSt.ProperietorCptlS,BalSt.RevalustionRsvS,BalSt.TnsltnRsvS,BalSt.GnrlRsvS,BalSt.AnyOthrRsvS,BalSt.ProfitYearS)</f>
        <v/>
      </c>
      <c r="D62" s="189">
        <f>SUM(BalSt.ProperietorCptlW,BalSt.RevalustionRsvW,BalSt.TnsltnRsvW,BalSt.GnrlRsvW,BalSt.AnyOthrRsvW,BalSt.ProfitYearW)</f>
        <v/>
      </c>
      <c r="E62" s="187" t="n"/>
    </row>
    <row r="63" ht="17" customHeight="1" s="486">
      <c r="A63" s="520" t="n">
        <v>6.1</v>
      </c>
      <c r="B63" s="190" t="inlineStr">
        <is>
          <t>Proprietor's Capital</t>
        </is>
      </c>
      <c r="C63" s="191" t="n"/>
      <c r="D63" s="463" t="n"/>
      <c r="E63" s="187" t="n"/>
    </row>
    <row r="64" ht="17" customHeight="1" s="486">
      <c r="A64" s="520" t="n">
        <v>6.2</v>
      </c>
      <c r="B64" s="190" t="inlineStr">
        <is>
          <t>Revaluation Reserve</t>
        </is>
      </c>
      <c r="C64" s="191" t="n"/>
      <c r="D64" s="463" t="n"/>
      <c r="E64" s="187" t="n"/>
    </row>
    <row r="65" ht="17" customHeight="1" s="486">
      <c r="A65" s="520" t="n">
        <v>6.3</v>
      </c>
      <c r="B65" s="190" t="inlineStr">
        <is>
          <t>Translation Reserve</t>
        </is>
      </c>
      <c r="C65" s="191" t="n"/>
      <c r="D65" s="463" t="n"/>
      <c r="E65" s="187" t="n"/>
    </row>
    <row r="66" ht="17" customHeight="1" s="486">
      <c r="A66" s="520" t="n">
        <v>6.4</v>
      </c>
      <c r="B66" s="190" t="inlineStr">
        <is>
          <t>General Reserve</t>
        </is>
      </c>
      <c r="C66" s="191" t="n"/>
      <c r="D66" s="463" t="n"/>
      <c r="E66" s="187" t="n"/>
    </row>
    <row r="67" ht="17" customHeight="1" s="486">
      <c r="A67" s="520" t="n">
        <v>6.5</v>
      </c>
      <c r="B67" s="190" t="inlineStr">
        <is>
          <t>Any other Reserve</t>
        </is>
      </c>
      <c r="C67" s="191" t="n"/>
      <c r="D67" s="463" t="n"/>
      <c r="E67" s="187" t="n"/>
    </row>
    <row r="68" ht="17" customHeight="1" s="486">
      <c r="A68" s="520" t="n">
        <v>6.6</v>
      </c>
      <c r="B68" s="196" t="inlineStr">
        <is>
          <t xml:space="preserve">Profit / Surplus / (Loss) for the Year </t>
        </is>
      </c>
      <c r="C68" s="191" t="n"/>
      <c r="D68" s="463" t="n"/>
      <c r="E68" s="187" t="n"/>
    </row>
    <row r="69">
      <c r="A69" s="520" t="n"/>
      <c r="B69" s="491" t="n"/>
      <c r="C69" s="491" t="n"/>
      <c r="D69" s="481" t="n"/>
      <c r="E69" s="187" t="n"/>
    </row>
    <row r="70" ht="17" customHeight="1" s="486">
      <c r="A70" s="520" t="n">
        <v>7</v>
      </c>
      <c r="B70" s="138" t="inlineStr">
        <is>
          <t>Long Term Liabilities (7.1+7.2+7.3)</t>
        </is>
      </c>
      <c r="C70" s="189">
        <f>SUM(BalSt.TotalSecurdLaibtyS,BalSt.TotalUnsecureLaibtyS,BalSt.DeferredTxLiabtyS)</f>
        <v/>
      </c>
      <c r="D70" s="189">
        <f>SUM(BalSt.TotalSecurdLaibtyW,BalSt.TotalUnsecureLaibtyW,BalSt.DeferredTxLiabtyW)</f>
        <v/>
      </c>
      <c r="E70" s="187" t="n"/>
    </row>
    <row r="71" ht="17" customHeight="1" s="486">
      <c r="A71" s="520" t="n">
        <v>7.1</v>
      </c>
      <c r="B71" s="138" t="inlineStr">
        <is>
          <t>Secured Liabilities (7.1.1+7.1.2+7.1.3+7.1.4)</t>
        </is>
      </c>
      <c r="C71" s="189">
        <f>SUM(BalSt.LoanFinancialInstS,BalSt.OthrLoanS,BalSt.DbtSecurIssuedS,BalSt.DueRltdPartyS)</f>
        <v/>
      </c>
      <c r="D71" s="189">
        <f>SUM(BalSt.LoanFinancialInstW,BalSt.OthrLoanW,BalSt.DbtSecurIssuedW,BalSt.DueRltdPartyW)</f>
        <v/>
      </c>
      <c r="E71" s="187" t="n"/>
    </row>
    <row r="72" ht="17" customHeight="1" s="486">
      <c r="A72" s="521" t="inlineStr">
        <is>
          <t>7.1.1</t>
        </is>
      </c>
      <c r="B72" s="190" t="inlineStr">
        <is>
          <t>Loans from Financial Institutions</t>
        </is>
      </c>
      <c r="C72" s="191" t="n"/>
      <c r="D72" s="463" t="n"/>
      <c r="E72" s="187" t="n"/>
    </row>
    <row r="73" ht="17" customHeight="1" s="486">
      <c r="A73" s="521" t="inlineStr">
        <is>
          <t>7.1.2</t>
        </is>
      </c>
      <c r="B73" s="190" t="inlineStr">
        <is>
          <t>Other Loans</t>
        </is>
      </c>
      <c r="C73" s="191" t="n"/>
      <c r="D73" s="463" t="n"/>
      <c r="E73" s="187" t="n"/>
    </row>
    <row r="74" ht="17" customHeight="1" s="486">
      <c r="A74" s="521" t="inlineStr">
        <is>
          <t>7.1.3</t>
        </is>
      </c>
      <c r="B74" s="190" t="inlineStr">
        <is>
          <t>Debt Securities issued</t>
        </is>
      </c>
      <c r="C74" s="191" t="n"/>
      <c r="D74" s="463" t="n"/>
      <c r="E74" s="187" t="n"/>
    </row>
    <row r="75" ht="17" customHeight="1" s="486">
      <c r="A75" s="521" t="inlineStr">
        <is>
          <t>7.1.4</t>
        </is>
      </c>
      <c r="B75" s="196" t="inlineStr">
        <is>
          <t>Loans from Related Parties</t>
        </is>
      </c>
      <c r="C75" s="191" t="n"/>
      <c r="D75" s="463" t="n"/>
      <c r="E75" s="187" t="n"/>
    </row>
    <row r="76">
      <c r="A76" s="521" t="n"/>
      <c r="B76" s="491" t="n"/>
      <c r="C76" s="491" t="n"/>
      <c r="D76" s="481" t="n"/>
      <c r="E76" s="187" t="n"/>
    </row>
    <row r="77" ht="17" customHeight="1" s="486">
      <c r="A77" s="520" t="n">
        <v>7.2</v>
      </c>
      <c r="B77" s="138" t="inlineStr">
        <is>
          <t>Unsecured Liabilities (7.2.1+7.2.2+7.2.3+7.2.4)</t>
        </is>
      </c>
      <c r="C77" s="189">
        <f>SUM(BalSt.UnsecuredLoanFinancialInstS,BalSt.UnsecuredOtherLoanS,BalSt.UnsecuredPayblCrdtThnOneS,BalSt.UnsecuredDueRltdPartyS)</f>
        <v/>
      </c>
      <c r="D77" s="189">
        <f>SUM(BalSt.UnsecuredLoanFinancialInstW,BalSt.UnsecuredOtherLoanW,BalSt.UnsecuredPayblCrdtThnOneW,BalSt.UnsecuredDueRltdPartyW)</f>
        <v/>
      </c>
      <c r="E77" s="187" t="n"/>
    </row>
    <row r="78" ht="17" customHeight="1" s="486">
      <c r="A78" s="521" t="inlineStr">
        <is>
          <t>7.2.1</t>
        </is>
      </c>
      <c r="B78" s="190" t="inlineStr">
        <is>
          <t>Loans from Financial Institutions</t>
        </is>
      </c>
      <c r="C78" s="191" t="n"/>
      <c r="D78" s="463" t="n"/>
      <c r="E78" s="187" t="n"/>
    </row>
    <row r="79" ht="17" customHeight="1" s="486">
      <c r="A79" s="521" t="inlineStr">
        <is>
          <t>7.2.2</t>
        </is>
      </c>
      <c r="B79" s="190" t="inlineStr">
        <is>
          <t>Other Loans</t>
        </is>
      </c>
      <c r="C79" s="191" t="n"/>
      <c r="D79" s="463" t="n"/>
      <c r="E79" s="187" t="n"/>
    </row>
    <row r="80" ht="17" customHeight="1" s="486">
      <c r="A80" s="521" t="inlineStr">
        <is>
          <t>7.2.3</t>
        </is>
      </c>
      <c r="B80" s="190" t="inlineStr">
        <is>
          <t>Payables / Creditors for more than one year</t>
        </is>
      </c>
      <c r="C80" s="191" t="n"/>
      <c r="D80" s="463" t="n"/>
      <c r="E80" s="187" t="n"/>
    </row>
    <row r="81" ht="17" customHeight="1" s="486">
      <c r="A81" s="521" t="inlineStr">
        <is>
          <t>7.2.4</t>
        </is>
      </c>
      <c r="B81" s="190" t="inlineStr">
        <is>
          <t>Due to Related Parties</t>
        </is>
      </c>
      <c r="C81" s="191" t="n"/>
      <c r="D81" s="463" t="n"/>
      <c r="E81" s="187" t="n"/>
    </row>
    <row r="82">
      <c r="A82" s="521" t="n"/>
      <c r="B82" s="491" t="n"/>
      <c r="C82" s="491" t="n"/>
      <c r="D82" s="481" t="n"/>
      <c r="E82" s="187" t="n"/>
    </row>
    <row r="83" ht="17" customHeight="1" s="486">
      <c r="A83" s="521" t="n">
        <v>7.3</v>
      </c>
      <c r="B83" s="138" t="inlineStr">
        <is>
          <t>Deferred Tax Liability</t>
        </is>
      </c>
      <c r="C83" s="191" t="n"/>
      <c r="D83" s="463" t="n"/>
      <c r="E83" s="187" t="n"/>
    </row>
    <row r="84">
      <c r="A84" s="521" t="n"/>
      <c r="B84" s="491" t="n"/>
      <c r="C84" s="491" t="n"/>
      <c r="D84" s="481" t="n"/>
      <c r="E84" s="187" t="n"/>
    </row>
    <row r="85" ht="17" customHeight="1" s="486">
      <c r="A85" s="520" t="n">
        <v>8</v>
      </c>
      <c r="B85" s="138" t="inlineStr">
        <is>
          <t>Total Liabilities (6+7)</t>
        </is>
      </c>
      <c r="C85" s="189">
        <f>SUM(BalSt.TotalProprietorCptlRsvS,BalSt.TotalLoanFundS)</f>
        <v/>
      </c>
      <c r="D85" s="189">
        <f>SUM(BalSt.TotalProprietorCptlRsvW,BalSt.TotalLoanFundW)</f>
        <v/>
      </c>
      <c r="E85" s="187" t="n"/>
    </row>
    <row r="86" ht="37.5" customHeight="1" s="486">
      <c r="A86" s="516" t="n"/>
    </row>
    <row r="87" ht="37.5" customHeight="1" s="486"/>
  </sheetData>
  <sheetProtection selectLockedCells="0" selectUnlockedCells="0" algorithmName="SHA-512" sheet="1" objects="1" insertRows="1" insertHyperlinks="1" autoFilter="1" scenarios="1" formatColumns="1" deleteColumns="1" insertColumns="1" pivotTables="1" deleteRows="1" formatCells="1" saltValue="bft+3X/6ZQBEkoj+Cy4dxA==" formatRows="1" sort="1" spinCount="100000" hashValue="KJmbw0T7siLY8lIbm+62pRM3P4ES0d1eTDHf9HGTxZ9/QrcZnzeVv9rC274gfdx30PeERXjgJIQUq7M1e+krkg=="/>
  <mergeCells count="18">
    <mergeCell ref="A1:D1"/>
    <mergeCell ref="A27:D27"/>
    <mergeCell ref="A61:D61"/>
    <mergeCell ref="A69:D69"/>
    <mergeCell ref="A12:D12"/>
    <mergeCell ref="A86:E87"/>
    <mergeCell ref="A3:D3"/>
    <mergeCell ref="A38:D38"/>
    <mergeCell ref="A54:D54"/>
    <mergeCell ref="A82:D82"/>
    <mergeCell ref="A59:D59"/>
    <mergeCell ref="A76:D76"/>
    <mergeCell ref="A19:D19"/>
    <mergeCell ref="A84:D84"/>
    <mergeCell ref="A32:D32"/>
    <mergeCell ref="A36:D36"/>
    <mergeCell ref="A46:D46"/>
    <mergeCell ref="A44:D44"/>
  </mergeCells>
  <dataValidations xWindow="1070" yWindow="215" count="2">
    <dataValidation sqref="C5:D11 C14:D18 C23:D26 C29:D31 C34:D35 C37:D37 C40:D43 C45:D45 C49:D53 C56:D58 C64:D67 C72:D75 C78:D81 C83:D83"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C63:D63 C68:D68" showDropDown="0" showInputMessage="1" showErrorMessage="1" allowBlank="0" errorTitle="Data Error:" error="Please enter positive numeric value of length less than or equal to 15 digit." promptTitle="Numeric:" prompt="Enter numeric value of length less than or equal to 15 digit." type="decimal">
      <formula1>-1E+105</formula1>
      <formula2>999999999999999</formula2>
    </dataValidation>
  </dataValidations>
  <pageMargins left="0.7" right="0.7" top="0.75" bottom="0.75" header="0.5118055555555555" footer="0.5118055555555555"/>
  <pageSetup orientation="portrait" paperSize="9" firstPageNumber="0" horizontalDpi="300" verticalDpi="300"/>
  <drawing r:id="rId1"/>
</worksheet>
</file>

<file path=xl/worksheets/sheet12.xml><?xml version="1.0" encoding="utf-8"?>
<worksheet xmlns:r="http://schemas.openxmlformats.org/officeDocument/2006/relationships" xmlns="http://schemas.openxmlformats.org/spreadsheetml/2006/main">
  <sheetPr codeName="Sheet16">
    <outlinePr summaryBelow="1" summaryRight="1"/>
    <pageSetUpPr/>
  </sheetPr>
  <dimension ref="A1:S31"/>
  <sheetViews>
    <sheetView topLeftCell="A21" workbookViewId="0">
      <selection activeCell="E3" sqref="E3"/>
    </sheetView>
  </sheetViews>
  <sheetFormatPr baseColWidth="10" defaultColWidth="0" defaultRowHeight="16.5" customHeight="1" zeroHeight="1"/>
  <cols>
    <col width="27.6640625" customWidth="1" style="525" min="1" max="10"/>
    <col width="7.1640625" customWidth="1" style="525" min="11" max="12"/>
    <col hidden="1" width="20.33203125" customWidth="1" style="525" min="13" max="13"/>
    <col hidden="1" width="20.33203125" customWidth="1" style="525" min="14" max="16384"/>
  </cols>
  <sheetData>
    <row r="1" ht="41.25" customFormat="1" customHeight="1" s="56">
      <c r="A1" s="523" t="inlineStr">
        <is>
          <t>Section D Part 1 : Quantitative Details of Stock / Inventory (Trading Concern Details or Finished Goods Details in case of Manufacturing Concern  (Self)</t>
        </is>
      </c>
      <c r="B1" s="491" t="n"/>
      <c r="C1" s="491" t="n"/>
      <c r="D1" s="491" t="n"/>
      <c r="E1" s="491" t="n"/>
      <c r="F1" s="491" t="n"/>
      <c r="G1" s="247" t="n"/>
      <c r="H1" s="61" t="n"/>
      <c r="I1" s="61" t="n"/>
      <c r="J1" s="61" t="n"/>
      <c r="K1" s="61" t="n"/>
      <c r="L1" s="61" t="n"/>
      <c r="M1" s="62" t="n"/>
      <c r="N1" s="62" t="n"/>
      <c r="O1" s="62" t="n"/>
      <c r="P1" s="62" t="n"/>
      <c r="Q1" s="63" t="n"/>
      <c r="R1" s="63" t="n"/>
      <c r="S1" s="63" t="n"/>
    </row>
    <row r="2" ht="37.5" customFormat="1" customHeight="1" s="57">
      <c r="A2" s="34" t="inlineStr">
        <is>
          <t>Item Name</t>
        </is>
      </c>
      <c r="B2" s="34" t="inlineStr">
        <is>
          <t>Unit of Measure</t>
        </is>
      </c>
      <c r="C2" s="34" t="inlineStr">
        <is>
          <t>Opening Stock 
(A)</t>
        </is>
      </c>
      <c r="D2" s="34" t="inlineStr">
        <is>
          <t>Purchase 
(B)</t>
        </is>
      </c>
      <c r="E2" s="34" t="inlineStr">
        <is>
          <t>Sales Quantity (C)</t>
        </is>
      </c>
      <c r="F2" s="34" t="inlineStr">
        <is>
          <t>Closing Stock 
(D)</t>
        </is>
      </c>
      <c r="G2" s="34" t="inlineStr">
        <is>
          <t>Shortage / (Excess), if any (A+B-C-D)</t>
        </is>
      </c>
      <c r="H2" s="61" t="inlineStr">
        <is>
          <t>strSpouseCode</t>
        </is>
      </c>
      <c r="I2" s="61" t="inlineStr">
        <is>
          <t>section code</t>
        </is>
      </c>
      <c r="J2" s="61" t="n"/>
      <c r="K2" s="61" t="n"/>
      <c r="L2" s="61" t="n"/>
      <c r="M2" s="39" t="n"/>
      <c r="N2" s="39" t="n"/>
      <c r="O2" s="39" t="n"/>
      <c r="P2" s="49" t="n"/>
      <c r="Q2" s="63" t="n"/>
      <c r="R2" s="63" t="n"/>
      <c r="S2" s="63" t="n"/>
    </row>
    <row r="3" ht="17" customFormat="1" customHeight="1" s="65">
      <c r="A3" s="53" t="n"/>
      <c r="B3" s="53" t="n"/>
      <c r="C3" s="55" t="n"/>
      <c r="D3" s="55" t="n"/>
      <c r="E3" s="55" t="n"/>
      <c r="F3" s="55" t="n"/>
      <c r="G3" s="64">
        <f>IF(COUNTBLANK(C3:F3)=4,"",IF(ISERROR(ROUND(C3,2)+ROUND(D3,2)-ROUND(E3,2)-ROUND(F3,2)),0,ROUND(C3,2)+ROUND(D3,2)-ROUND(E3,2)-ROUND(F3,2)))</f>
        <v/>
      </c>
      <c r="H3" s="61">
        <f>IF(A3="","",CONCATENATE("H"))</f>
        <v/>
      </c>
      <c r="I3" s="61">
        <f>IF(B3="","",CONCATENATE("NH"))</f>
        <v/>
      </c>
      <c r="J3" s="61" t="n"/>
      <c r="K3" s="61" t="n"/>
      <c r="L3" s="61" t="n"/>
    </row>
    <row r="4" ht="17" customFormat="1" customHeight="1" s="65">
      <c r="A4" s="53" t="n"/>
      <c r="B4" s="53" t="n"/>
      <c r="C4" s="55" t="n"/>
      <c r="D4" s="55" t="n"/>
      <c r="E4" s="55" t="n"/>
      <c r="F4" s="55" t="n"/>
      <c r="G4" s="64">
        <f>IF(COUNTBLANK(C4:F4)=4,"",IF(ISERROR(ROUND(C4,2)+ROUND(D4,2)-ROUND(E4,2)-ROUND(F4,2)),0,ROUND(C4,2)+ROUND(D4,2)-ROUND(E4,2)-ROUND(F4,2)))</f>
        <v/>
      </c>
      <c r="H4" s="61">
        <f>IF(A4="","",CONCATENATE("H"))</f>
        <v/>
      </c>
      <c r="I4" s="61">
        <f>IF(B4="","",CONCATENATE("NH"))</f>
        <v/>
      </c>
      <c r="J4" s="61" t="n"/>
      <c r="K4" s="61" t="n"/>
      <c r="L4" s="61" t="n"/>
    </row>
    <row r="5" ht="16" customFormat="1" customHeight="1" s="65">
      <c r="A5" s="522" t="inlineStr">
        <is>
          <t>Total</t>
        </is>
      </c>
      <c r="B5" s="481" t="n"/>
      <c r="C5" s="129">
        <f>SUM(C3:OFFSET(Inv.OpeningStockTOS,-1,0))</f>
        <v/>
      </c>
      <c r="D5" s="129">
        <f>SUM(D3:OFFSET(Inv.PurchaseTOS,-1,0))</f>
        <v/>
      </c>
      <c r="E5" s="129">
        <f>SUM(E3:OFFSET(Inv.SalesQuantTOS,-1,0))</f>
        <v/>
      </c>
      <c r="F5" s="129">
        <f>SUM(F3:OFFSET(Inv.ClosingStockTOS,-1,0))</f>
        <v/>
      </c>
      <c r="G5" s="129">
        <f>SUM(G3:OFFSET(Inv.StorageTOS,-1,0))</f>
        <v/>
      </c>
      <c r="H5" s="61" t="n"/>
      <c r="I5" s="61" t="n"/>
      <c r="J5" s="61" t="n"/>
      <c r="K5" s="61" t="n"/>
      <c r="L5" s="61" t="n"/>
    </row>
    <row r="6" ht="16" customHeight="1" s="486">
      <c r="A6" s="66" t="n"/>
      <c r="B6" s="66" t="n"/>
      <c r="C6" s="66" t="n"/>
      <c r="D6" s="66" t="n"/>
      <c r="E6" s="66" t="n"/>
      <c r="F6" s="66" t="n"/>
      <c r="G6" s="66" t="n"/>
      <c r="H6" s="66" t="n"/>
      <c r="I6" s="61" t="n"/>
      <c r="J6" s="61" t="n"/>
      <c r="K6" s="61" t="n"/>
      <c r="L6" s="61" t="n"/>
    </row>
    <row r="7" ht="16" customHeight="1" s="486">
      <c r="A7" s="66" t="n"/>
      <c r="B7" s="66" t="n"/>
      <c r="C7" s="66" t="n"/>
      <c r="D7" s="66" t="n"/>
      <c r="E7" s="66" t="n"/>
      <c r="F7" s="66" t="n"/>
      <c r="G7" s="66" t="n"/>
      <c r="H7" s="66" t="n"/>
      <c r="I7" s="61" t="n"/>
      <c r="J7" s="61" t="n"/>
      <c r="K7" s="61" t="n"/>
      <c r="L7" s="61" t="n"/>
    </row>
    <row r="8" ht="16" customHeight="1" s="486">
      <c r="A8" s="66" t="n"/>
      <c r="B8" s="66" t="n"/>
      <c r="C8" s="66" t="n"/>
      <c r="D8" s="66" t="n"/>
      <c r="E8" s="66" t="n"/>
      <c r="F8" s="66" t="n"/>
      <c r="G8" s="66" t="n"/>
      <c r="H8" s="66" t="n"/>
      <c r="I8" s="61" t="n"/>
      <c r="J8" s="61" t="n"/>
      <c r="K8" s="61" t="n"/>
      <c r="L8" s="61" t="n"/>
    </row>
    <row r="9" ht="40.5" customFormat="1" customHeight="1" s="56">
      <c r="A9" s="523" t="inlineStr">
        <is>
          <t>Section D Part 1 : Quantitative Details of Stock / Inventory (Trading Concern Details or Finished Goods Details in case of Manufacturing Concern  (Wife)</t>
        </is>
      </c>
      <c r="B9" s="491" t="n"/>
      <c r="C9" s="491" t="n"/>
      <c r="D9" s="491" t="n"/>
      <c r="E9" s="491" t="n"/>
      <c r="F9" s="491" t="n"/>
      <c r="G9" s="247" t="n"/>
      <c r="H9" s="61" t="n"/>
      <c r="I9" s="61" t="n"/>
      <c r="J9" s="61" t="n"/>
      <c r="K9" s="61" t="n"/>
      <c r="L9" s="61" t="n"/>
      <c r="M9" s="62" t="n"/>
      <c r="N9" s="62" t="n"/>
      <c r="O9" s="62" t="n"/>
      <c r="P9" s="62" t="n"/>
      <c r="Q9" s="63" t="n"/>
      <c r="R9" s="63" t="n"/>
      <c r="S9" s="63" t="n"/>
    </row>
    <row r="10" ht="35.25" customFormat="1" customHeight="1" s="57">
      <c r="A10" s="34" t="inlineStr">
        <is>
          <t>Item Name</t>
        </is>
      </c>
      <c r="B10" s="34" t="inlineStr">
        <is>
          <t>Unit of Measure</t>
        </is>
      </c>
      <c r="C10" s="34" t="inlineStr">
        <is>
          <t>Opening Stock 
(A)</t>
        </is>
      </c>
      <c r="D10" s="34" t="inlineStr">
        <is>
          <t>Purchase 
(B)</t>
        </is>
      </c>
      <c r="E10" s="34" t="inlineStr">
        <is>
          <t>Sales Quantity 
(C)</t>
        </is>
      </c>
      <c r="F10" s="34" t="inlineStr">
        <is>
          <t>Closing Stock 
(D)</t>
        </is>
      </c>
      <c r="G10" s="34" t="inlineStr">
        <is>
          <t>Shortage / (Excess), if any (A+B-C-D)</t>
        </is>
      </c>
      <c r="H10" s="61" t="inlineStr">
        <is>
          <t>strSpouseCode</t>
        </is>
      </c>
      <c r="I10" s="61" t="inlineStr">
        <is>
          <t>section code</t>
        </is>
      </c>
      <c r="J10" s="61" t="n"/>
      <c r="K10" s="61" t="n"/>
      <c r="L10" s="61" t="n"/>
      <c r="M10" s="39" t="n"/>
      <c r="N10" s="39" t="n"/>
      <c r="O10" s="39" t="n"/>
      <c r="P10" s="49" t="n"/>
      <c r="Q10" s="63" t="n"/>
      <c r="R10" s="63" t="n"/>
      <c r="S10" s="63" t="n"/>
    </row>
    <row r="11" ht="16" customFormat="1" customHeight="1" s="65">
      <c r="A11" s="409" t="n"/>
      <c r="B11" s="409" t="n"/>
      <c r="C11" s="64" t="n"/>
      <c r="D11" s="64" t="n"/>
      <c r="E11" s="64" t="n"/>
      <c r="F11" s="64" t="n"/>
      <c r="G11" s="64">
        <f>IF(COUNTBLANK(C11:F11)=4,"",IF(ISERROR(ROUND(C11,2)+ROUND(D11,2)-ROUND(E11,2)-ROUND(F11,2)),0,ROUND(C11,2)+ROUND(D11,2)-ROUND(E11,2)-ROUND(F11,2)))</f>
        <v/>
      </c>
      <c r="H11" s="61">
        <f>IF(A11="","",CONCATENATE("W"))</f>
        <v/>
      </c>
      <c r="I11" s="61">
        <f>IF(B11="","",CONCATENATE("NW"))</f>
        <v/>
      </c>
      <c r="J11" s="61" t="n"/>
      <c r="K11" s="61" t="n"/>
      <c r="L11" s="61" t="n"/>
    </row>
    <row r="12" ht="16" customFormat="1" customHeight="1" s="65">
      <c r="A12" s="409" t="n"/>
      <c r="B12" s="409" t="n"/>
      <c r="C12" s="64" t="n"/>
      <c r="D12" s="64" t="n"/>
      <c r="E12" s="64" t="n"/>
      <c r="F12" s="64" t="n"/>
      <c r="G12" s="64">
        <f>IF(COUNTBLANK(C12:F12)=4,"",IF(ISERROR(ROUND(C12,2)+ROUND(D12,2)-ROUND(E12,2)-ROUND(F12,2)),0,ROUND(C12,2)+ROUND(D12,2)-ROUND(E12,2)-ROUND(F12,2)))</f>
        <v/>
      </c>
      <c r="H12" s="61">
        <f>IF(A12="","",CONCATENATE("W"))</f>
        <v/>
      </c>
      <c r="I12" s="61">
        <f>IF(B12="","",CONCATENATE("NW"))</f>
        <v/>
      </c>
      <c r="J12" s="61" t="n"/>
      <c r="K12" s="61" t="n"/>
      <c r="L12" s="61" t="n"/>
    </row>
    <row r="13" ht="16" customFormat="1" customHeight="1" s="65">
      <c r="A13" s="522" t="inlineStr">
        <is>
          <t>Total</t>
        </is>
      </c>
      <c r="B13" s="481" t="n"/>
      <c r="C13" s="129">
        <f>SUM(C11:OFFSET(Inv.OpeningStockTOW,-1,0))</f>
        <v/>
      </c>
      <c r="D13" s="129">
        <f>SUM(D11:OFFSET(Inv.PurchaseTOW,-1,0))</f>
        <v/>
      </c>
      <c r="E13" s="129">
        <f>SUM(E11:OFFSET(Inv.SalesQuantTOW,-1,0))</f>
        <v/>
      </c>
      <c r="F13" s="129">
        <f>SUM(F11:OFFSET(Inv.ClosingStockTOW,-1,0))</f>
        <v/>
      </c>
      <c r="G13" s="129">
        <f>SUM(G11:OFFSET(Inv.StorageTOW,-1,0))</f>
        <v/>
      </c>
      <c r="H13" s="61" t="n"/>
      <c r="I13" s="61" t="n"/>
      <c r="J13" s="61" t="n"/>
      <c r="K13" s="61" t="n"/>
      <c r="L13" s="61" t="n"/>
    </row>
    <row r="14" ht="37.5" customHeight="1" s="486">
      <c r="A14" s="66" t="n"/>
      <c r="B14" s="66" t="n"/>
      <c r="C14" s="66" t="n"/>
      <c r="D14" s="66" t="n"/>
      <c r="E14" s="66" t="n"/>
      <c r="F14" s="66" t="n"/>
      <c r="G14" s="66" t="n"/>
      <c r="H14" s="66" t="n"/>
      <c r="I14" s="61" t="n"/>
      <c r="J14" s="61" t="n"/>
      <c r="K14" s="61" t="n"/>
      <c r="L14" s="61" t="n"/>
    </row>
    <row r="15" ht="31.5" customFormat="1" customHeight="1" s="56">
      <c r="A15" s="523" t="inlineStr">
        <is>
          <t>Section D Part 2 : Quantitative Details of Stock / Inventory (Raw Material Details in case of Manufacturing Concern) (Self)</t>
        </is>
      </c>
      <c r="B15" s="491" t="n"/>
      <c r="C15" s="491" t="n"/>
      <c r="D15" s="491" t="n"/>
      <c r="E15" s="491" t="n"/>
      <c r="F15" s="491" t="n"/>
      <c r="G15" s="246" t="n"/>
      <c r="H15" s="246" t="n"/>
      <c r="I15" s="246" t="n"/>
      <c r="J15" s="247" t="n"/>
      <c r="K15" s="61" t="n"/>
      <c r="L15" s="61" t="n"/>
      <c r="M15" s="62" t="n"/>
      <c r="N15" s="62" t="n"/>
      <c r="O15" s="62" t="n"/>
      <c r="P15" s="62" t="n"/>
      <c r="Q15" s="63" t="n"/>
      <c r="R15" s="63" t="n"/>
      <c r="S15" s="63" t="n"/>
    </row>
    <row r="16" ht="34.5" customFormat="1" customHeight="1" s="57">
      <c r="A16" s="34" t="inlineStr">
        <is>
          <t>Item Name</t>
        </is>
      </c>
      <c r="B16" s="34" t="inlineStr">
        <is>
          <t>Unit of Measure</t>
        </is>
      </c>
      <c r="C16" s="34" t="inlineStr">
        <is>
          <t>Opening Stock
(A)</t>
        </is>
      </c>
      <c r="D16" s="34" t="inlineStr">
        <is>
          <t>Purchase
(B)</t>
        </is>
      </c>
      <c r="E16" s="34" t="inlineStr">
        <is>
          <t>Consumption
(C)</t>
        </is>
      </c>
      <c r="F16" s="34" t="inlineStr">
        <is>
          <t>Sales Quantity
(D)</t>
        </is>
      </c>
      <c r="G16" s="34" t="inlineStr">
        <is>
          <t>Closing Stock
(E)</t>
        </is>
      </c>
      <c r="H16" s="34" t="inlineStr">
        <is>
          <t>Yield Finished Product in Units</t>
        </is>
      </c>
      <c r="I16" s="34" t="inlineStr">
        <is>
          <t>% Yield</t>
        </is>
      </c>
      <c r="J16" s="34" t="inlineStr">
        <is>
          <t>Shortage / (Excess), if any (A+B-C-D-E)</t>
        </is>
      </c>
      <c r="K16" s="61" t="inlineStr">
        <is>
          <t>strSpouseCode</t>
        </is>
      </c>
      <c r="L16" s="61" t="inlineStr">
        <is>
          <t>section code</t>
        </is>
      </c>
      <c r="M16" s="39" t="n"/>
      <c r="N16" s="39" t="n"/>
      <c r="O16" s="39" t="n"/>
      <c r="P16" s="49" t="n"/>
      <c r="Q16" s="63" t="n"/>
      <c r="R16" s="63" t="n"/>
      <c r="S16" s="63" t="n"/>
    </row>
    <row r="17" ht="17" customFormat="1" customHeight="1" s="65">
      <c r="A17" s="256" t="n"/>
      <c r="B17" s="50" t="n"/>
      <c r="C17" s="55" t="n"/>
      <c r="D17" s="55" t="n"/>
      <c r="E17" s="55" t="n"/>
      <c r="F17" s="55" t="n"/>
      <c r="G17" s="55" t="n"/>
      <c r="H17" s="55" t="n"/>
      <c r="I17" s="45" t="n"/>
      <c r="J17" s="64">
        <f>IF(COUNTBLANK(C17:G17)=5,"",IF(ISERROR(ROUND(SUM(C17:D17),2)-ROUND(E17,2)-ROUND(F17,2)-ROUND(G17,2)),0,ROUND(SUM(C17:D17),2)-ROUND(E17,2)-ROUND(F17,2)-ROUND(G17,2)))</f>
        <v/>
      </c>
      <c r="K17" s="61">
        <f>IF(A17="","",CONCATENATE("H"))</f>
        <v/>
      </c>
      <c r="L17" s="61">
        <f>IF(B17="","",CONCATENATE("YH"))</f>
        <v/>
      </c>
    </row>
    <row r="18" ht="17" customFormat="1" customHeight="1" s="65">
      <c r="A18" s="256" t="n"/>
      <c r="B18" s="50" t="n"/>
      <c r="C18" s="55" t="n"/>
      <c r="D18" s="55" t="n"/>
      <c r="E18" s="55" t="n"/>
      <c r="F18" s="55" t="n"/>
      <c r="G18" s="55" t="n"/>
      <c r="H18" s="55" t="n"/>
      <c r="I18" s="45" t="n"/>
      <c r="J18" s="64">
        <f>IF(COUNTBLANK(C18:G18)=5,"",IF(ISERROR(ROUND(SUM(C18:D18),2)-ROUND(E18,2)-ROUND(F18,2)-ROUND(G18,2)),0,ROUND(SUM(C18:D18),2)-ROUND(E18,2)-ROUND(F18,2)-ROUND(G18,2)))</f>
        <v/>
      </c>
      <c r="K18" s="61">
        <f>IF(A18="","",CONCATENATE("H"))</f>
        <v/>
      </c>
      <c r="L18" s="61">
        <f>IF(B18="","",CONCATENATE("YH"))</f>
        <v/>
      </c>
    </row>
    <row r="19" ht="16" customFormat="1" customHeight="1" s="65">
      <c r="A19" s="522" t="inlineStr">
        <is>
          <t>Total</t>
        </is>
      </c>
      <c r="B19" s="481" t="n"/>
      <c r="C19" s="129">
        <f>SUM(C17:OFFSET(Inv.OpeningStockKIITOS,-1,0))</f>
        <v/>
      </c>
      <c r="D19" s="129">
        <f>SUM(D17:OFFSET(Inv.PurchaseKIITOS,-1,0))</f>
        <v/>
      </c>
      <c r="E19" s="129">
        <f>SUM(E17:OFFSET(Inv.ConsKIITOS,-1,0))</f>
        <v/>
      </c>
      <c r="F19" s="129">
        <f>SUM(F17:OFFSET(Inv.SalesQuantKIITOS,-1,0))</f>
        <v/>
      </c>
      <c r="G19" s="129">
        <f>SUM(G17:OFFSET(Inv.ClosingStockKIITOS,-1,0))</f>
        <v/>
      </c>
      <c r="H19" s="129">
        <f>SUM(H17:OFFSET(Inv.YieldKIITOS,-1,0))</f>
        <v/>
      </c>
      <c r="I19" s="64" t="n"/>
      <c r="J19" s="129">
        <f>SUM(J17:OFFSET(Inv.StorageKIITOS,-1,0))</f>
        <v/>
      </c>
      <c r="K19" s="61" t="n"/>
      <c r="L19" s="61" t="n"/>
    </row>
    <row r="20" ht="16" customFormat="1" customHeight="1" s="67">
      <c r="A20" s="66" t="n"/>
      <c r="B20" s="66" t="n"/>
      <c r="C20" s="66" t="n"/>
      <c r="D20" s="66" t="n"/>
      <c r="E20" s="66" t="n"/>
      <c r="F20" s="66" t="n"/>
      <c r="G20" s="66" t="n"/>
      <c r="H20" s="66" t="n"/>
      <c r="I20" s="66" t="n"/>
      <c r="J20" s="66" t="n"/>
      <c r="K20" s="61" t="n"/>
      <c r="L20" s="61" t="n"/>
    </row>
    <row r="21" ht="16" customFormat="1" customHeight="1" s="67">
      <c r="A21" s="66" t="n"/>
      <c r="B21" s="66" t="n"/>
      <c r="C21" s="66" t="n"/>
      <c r="D21" s="66" t="n"/>
      <c r="E21" s="66" t="n"/>
      <c r="F21" s="66" t="n"/>
      <c r="G21" s="66" t="n"/>
      <c r="H21" s="66" t="n"/>
      <c r="I21" s="66" t="n"/>
      <c r="J21" s="66" t="n"/>
      <c r="K21" s="61" t="n"/>
      <c r="L21" s="61" t="n"/>
    </row>
    <row r="22" ht="16" customFormat="1" customHeight="1" s="67">
      <c r="A22" s="66" t="n"/>
      <c r="B22" s="66" t="n"/>
      <c r="C22" s="66" t="n"/>
      <c r="D22" s="66" t="n"/>
      <c r="E22" s="66" t="n"/>
      <c r="F22" s="66" t="n"/>
      <c r="G22" s="66" t="n"/>
      <c r="H22" s="66" t="n"/>
      <c r="I22" s="66" t="n"/>
      <c r="J22" s="66" t="n"/>
      <c r="K22" s="61" t="n"/>
      <c r="L22" s="61" t="n"/>
    </row>
    <row r="23" ht="31.5" customFormat="1" customHeight="1" s="56">
      <c r="A23" s="523" t="inlineStr">
        <is>
          <t>Section D Part 2 : Quantitative Details of Stock / Inventory (Raw Material Details in case of Manufacturing Concern) (Wife)</t>
        </is>
      </c>
      <c r="B23" s="491" t="n"/>
      <c r="C23" s="491" t="n"/>
      <c r="D23" s="491" t="n"/>
      <c r="E23" s="491" t="n"/>
      <c r="F23" s="491" t="n"/>
      <c r="G23" s="246" t="n"/>
      <c r="H23" s="246" t="n"/>
      <c r="I23" s="246" t="n"/>
      <c r="J23" s="247" t="n"/>
      <c r="K23" s="61" t="n"/>
      <c r="L23" s="61" t="n"/>
      <c r="M23" s="62" t="n"/>
      <c r="N23" s="62" t="n"/>
      <c r="O23" s="62" t="n"/>
      <c r="P23" s="62" t="n"/>
      <c r="Q23" s="63" t="n"/>
      <c r="R23" s="63" t="n"/>
      <c r="S23" s="63" t="n"/>
    </row>
    <row r="24" ht="36.75" customFormat="1" customHeight="1" s="57">
      <c r="A24" s="34" t="inlineStr">
        <is>
          <t>Item Name</t>
        </is>
      </c>
      <c r="B24" s="34" t="inlineStr">
        <is>
          <t>Unit of Measure</t>
        </is>
      </c>
      <c r="C24" s="34" t="inlineStr">
        <is>
          <t>Opening Stock
(A)</t>
        </is>
      </c>
      <c r="D24" s="34" t="inlineStr">
        <is>
          <t>Purchase
(B)</t>
        </is>
      </c>
      <c r="E24" s="34" t="inlineStr">
        <is>
          <t>Consumption
(C)</t>
        </is>
      </c>
      <c r="F24" s="34" t="inlineStr">
        <is>
          <t>Sales Quantity
(D)</t>
        </is>
      </c>
      <c r="G24" s="34" t="inlineStr">
        <is>
          <t>Closing Stock
(E)</t>
        </is>
      </c>
      <c r="H24" s="34" t="inlineStr">
        <is>
          <t>Yield Finished Product in Units</t>
        </is>
      </c>
      <c r="I24" s="34" t="inlineStr">
        <is>
          <t>% Yield</t>
        </is>
      </c>
      <c r="J24" s="34" t="inlineStr">
        <is>
          <t>Shortage / (Excess), if any (A+B-C-D-E)</t>
        </is>
      </c>
      <c r="K24" s="61" t="inlineStr">
        <is>
          <t>strSpouseCode</t>
        </is>
      </c>
      <c r="L24" s="61" t="inlineStr">
        <is>
          <t>section code</t>
        </is>
      </c>
      <c r="M24" s="39" t="n"/>
      <c r="N24" s="39" t="n"/>
      <c r="O24" s="39" t="n"/>
      <c r="P24" s="49" t="n"/>
      <c r="Q24" s="63" t="n"/>
      <c r="R24" s="63" t="n"/>
      <c r="S24" s="63" t="n"/>
    </row>
    <row r="25" ht="17" customFormat="1" customHeight="1" s="65">
      <c r="A25" s="285" t="n"/>
      <c r="B25" s="464" t="n"/>
      <c r="C25" s="64" t="n"/>
      <c r="D25" s="64" t="n"/>
      <c r="E25" s="64" t="n"/>
      <c r="F25" s="64" t="n"/>
      <c r="G25" s="64" t="n"/>
      <c r="H25" s="64" t="n"/>
      <c r="I25" s="44" t="n"/>
      <c r="J25" s="64">
        <f>IF(COUNTBLANK(C25:G25)=5,"",IF(ISERROR(ROUND(SUM(C25:D25),2)-ROUND(E25,2)-ROUND(F25,2)-ROUND(G25,2)),0,ROUND(SUM(C25:D25),2)-ROUND(E25,2)-ROUND(F25,2)-ROUND(G25,2)))</f>
        <v/>
      </c>
      <c r="K25" s="61">
        <f>IF(A25="","",CONCATENATE("W"))</f>
        <v/>
      </c>
      <c r="L25" s="61">
        <f>IF(B25="","",CONCATENATE("YW"))</f>
        <v/>
      </c>
    </row>
    <row r="26" ht="17" customFormat="1" customHeight="1" s="65">
      <c r="A26" s="285" t="n"/>
      <c r="B26" s="464" t="n"/>
      <c r="C26" s="64" t="n"/>
      <c r="D26" s="64" t="n"/>
      <c r="E26" s="64" t="n"/>
      <c r="F26" s="64" t="n"/>
      <c r="G26" s="64" t="n"/>
      <c r="H26" s="64" t="n"/>
      <c r="I26" s="44" t="n"/>
      <c r="J26" s="64">
        <f>IF(COUNTBLANK(C26:G26)=5,"",IF(ISERROR(ROUND(SUM(C26:D26),2)-ROUND(E26,2)-ROUND(F26,2)-ROUND(G26,2)),0,ROUND(SUM(C26:D26),2)-ROUND(E26,2)-ROUND(F26,2)-ROUND(G26,2)))</f>
        <v/>
      </c>
      <c r="K26" s="61">
        <f>IF(A26="","",CONCATENATE("W"))</f>
        <v/>
      </c>
      <c r="L26" s="61">
        <f>IF(B26="","",CONCATENATE("YW"))</f>
        <v/>
      </c>
    </row>
    <row r="27" ht="16" customFormat="1" customHeight="1" s="65">
      <c r="A27" s="522" t="inlineStr">
        <is>
          <t>Total</t>
        </is>
      </c>
      <c r="B27" s="481" t="n"/>
      <c r="C27" s="129">
        <f>SUM(C25:OFFSET(Inv.OpeningStockKIITOW,-1,0))</f>
        <v/>
      </c>
      <c r="D27" s="129">
        <f>SUM(D25:OFFSET(Inv.PurchaseKIITOW,-1,0))</f>
        <v/>
      </c>
      <c r="E27" s="129">
        <f>SUM(E25:OFFSET(Inv.ConsKIITOW,-1,0))</f>
        <v/>
      </c>
      <c r="F27" s="129">
        <f>SUM(F25:OFFSET(Inv.SalesQuantKIITOW,-1,0))</f>
        <v/>
      </c>
      <c r="G27" s="129">
        <f>SUM(G25:OFFSET(Inv.ClosingStockKIITOW,-1,0))</f>
        <v/>
      </c>
      <c r="H27" s="129">
        <f>SUM(H25:OFFSET(Inv.YieldKIITOW,-1,0))</f>
        <v/>
      </c>
      <c r="I27" s="64" t="n"/>
      <c r="J27" s="129">
        <f>SUM(J25:OFFSET(Inv.StorageKIITOW,-1,0))</f>
        <v/>
      </c>
      <c r="K27" s="61" t="n"/>
      <c r="L27" s="61" t="n"/>
    </row>
    <row r="28" ht="37.5" customFormat="1" customHeight="1" s="67">
      <c r="A28" s="66" t="n"/>
      <c r="B28" s="66" t="n"/>
      <c r="C28" s="66" t="n"/>
      <c r="D28" s="66" t="n"/>
      <c r="E28" s="66" t="n"/>
      <c r="F28" s="66" t="n"/>
      <c r="G28" s="66" t="n"/>
      <c r="H28" s="66" t="n"/>
      <c r="I28" s="61" t="n"/>
      <c r="J28" s="61" t="n"/>
      <c r="K28" s="61" t="n"/>
      <c r="L28" s="61" t="n"/>
    </row>
    <row r="29" ht="37.5" customHeight="1" s="486">
      <c r="A29" s="66" t="n"/>
      <c r="B29" s="66" t="n"/>
      <c r="C29" s="66" t="n"/>
      <c r="D29" s="66" t="n"/>
      <c r="E29" s="66" t="n"/>
      <c r="F29" s="66" t="n"/>
      <c r="G29" s="66" t="n"/>
      <c r="H29" s="66" t="n"/>
      <c r="I29" s="61" t="n"/>
      <c r="J29" s="61" t="n"/>
      <c r="K29" s="61" t="n"/>
      <c r="L29" s="61" t="n"/>
    </row>
    <row r="30" hidden="1" ht="16.5" customHeight="1" s="486">
      <c r="A30" s="66" t="n"/>
      <c r="B30" s="66" t="n"/>
      <c r="C30" s="66" t="n"/>
      <c r="D30" s="66" t="n"/>
      <c r="E30" s="66" t="n"/>
      <c r="F30" s="66" t="n"/>
      <c r="G30" s="66" t="n"/>
      <c r="H30" s="66" t="n"/>
      <c r="I30" s="66" t="n"/>
    </row>
    <row r="31" hidden="1" ht="16.5" customHeight="1" s="486">
      <c r="A31" s="66" t="n"/>
      <c r="B31" s="66" t="n"/>
      <c r="C31" s="66" t="n"/>
      <c r="D31" s="66" t="n"/>
      <c r="E31" s="66" t="n"/>
      <c r="F31" s="66" t="n"/>
      <c r="G31" s="66" t="n"/>
      <c r="H31" s="66" t="n"/>
      <c r="I31" s="66" t="n"/>
    </row>
  </sheetData>
  <sheetProtection selectLockedCells="0" selectUnlockedCells="0" algorithmName="SHA-512" sheet="1" objects="1" insertRows="1" insertHyperlinks="1" autoFilter="1" scenarios="1" formatColumns="1" deleteColumns="1" insertColumns="1" pivotTables="1" deleteRows="1" formatCells="1" saltValue="6O0ChNVH9sFUteMLIXM8dQ==" formatRows="1" sort="1" spinCount="100000" hashValue="PeBbh8xVaPkDyvF9rTR+d6kGkNpWmeJ8ZnioWD6OQqB+8Ci4CZ8MwVjXkw4juT5IGI8SMGhhJW9bO+KGYAWGbw=="/>
  <mergeCells count="8">
    <mergeCell ref="A19:B19"/>
    <mergeCell ref="A1:F1"/>
    <mergeCell ref="A23:F23"/>
    <mergeCell ref="A9:F9"/>
    <mergeCell ref="A5:B5"/>
    <mergeCell ref="A13:B13"/>
    <mergeCell ref="A27:B27"/>
    <mergeCell ref="A15:F15"/>
  </mergeCells>
  <dataValidations xWindow="428" yWindow="301" count="4">
    <dataValidation sqref="A3:A4 A11:A12 A17:A18 A25:A26"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operator="lessThanOrEqual">
      <formula1>50</formula1>
    </dataValidation>
    <dataValidation sqref="B3:B4 B11:B12 B17:B18 B25:B26" showDropDown="0" showInputMessage="1" showErrorMessage="1" allowBlank="0" errorTitle="Data Error:" error="Please enter alphabetic value of length less than or equal to 15  characters." promptTitle="Alphabetic:" prompt="Enter alphabetic value of length less than or equal to 15  characters.Special characters like Space . are allowed." type="textLength" operator="lessThanOrEqual">
      <formula1>15</formula1>
    </dataValidation>
    <dataValidation sqref="C3:F4 C11:F12 C17:H18 C25:H26"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I17:I18 I25:I26" showDropDown="0" showInputMessage="1" showErrorMessage="1" allowBlank="0" errorTitle="Data Error:" error="Please enter Percentage value in range of  0 to 100." promptTitle="Percentage:" prompt="Enter Percentage value in range of  0 to 100." type="decimal">
      <formula1>0</formula1>
      <formula2>100</formula2>
    </dataValidation>
  </dataValidations>
  <pageMargins left="0.7" right="0.7" top="0.75" bottom="0.75" header="0.5118055555555555" footer="0.5118055555555555"/>
  <pageSetup orientation="portrait" paperSize="9" firstPageNumber="0" horizontalDpi="300" verticalDpi="300"/>
  <drawing r:id="rId1"/>
</worksheet>
</file>

<file path=xl/worksheets/sheet13.xml><?xml version="1.0" encoding="utf-8"?>
<worksheet xmlns:r="http://schemas.openxmlformats.org/officeDocument/2006/relationships" xmlns="http://schemas.openxmlformats.org/spreadsheetml/2006/main">
  <sheetPr codeName="Sheet31">
    <outlinePr summaryBelow="1" summaryRight="1"/>
    <pageSetUpPr/>
  </sheetPr>
  <dimension ref="A1:Q51"/>
  <sheetViews>
    <sheetView zoomScaleNormal="100" workbookViewId="0">
      <selection activeCell="B15" sqref="B15"/>
    </sheetView>
  </sheetViews>
  <sheetFormatPr baseColWidth="10" defaultColWidth="0" defaultRowHeight="16" zeroHeight="1"/>
  <cols>
    <col width="27.6640625" customWidth="1" style="525" min="1" max="9"/>
    <col width="26.5" customWidth="1" style="58" min="10" max="13"/>
    <col width="27.83203125" customWidth="1" style="58" min="14" max="14"/>
    <col hidden="1" width="14.33203125" customWidth="1" style="525" min="15" max="17"/>
    <col hidden="1" width="13" customWidth="1" style="525" min="18" max="18"/>
    <col hidden="1" width="13" customWidth="1" style="525" min="19" max="16384"/>
  </cols>
  <sheetData>
    <row r="1" ht="31.5" customFormat="1" customHeight="1" s="73">
      <c r="A1" s="527" t="inlineStr">
        <is>
          <t>Section E1 Part 1 : Addition to Plant and Machinery and Investment Deduction (Self)</t>
        </is>
      </c>
      <c r="B1" s="528" t="n"/>
      <c r="C1" s="528" t="n"/>
      <c r="D1" s="528" t="n"/>
      <c r="E1" s="528" t="n"/>
      <c r="F1" s="528" t="n"/>
      <c r="G1" s="528" t="n"/>
      <c r="H1" s="528" t="n"/>
      <c r="I1" s="528" t="n"/>
      <c r="J1" s="529" t="n"/>
      <c r="K1" s="263" t="n"/>
      <c r="L1" s="75" t="n"/>
      <c r="M1" s="75" t="n"/>
      <c r="N1" s="72" t="n"/>
      <c r="O1" s="72" t="n"/>
      <c r="P1" s="72" t="n"/>
    </row>
    <row r="2" ht="34" customFormat="1" customHeight="1" s="74">
      <c r="A2" s="147" t="inlineStr">
        <is>
          <t>Item (New Only)</t>
        </is>
      </c>
      <c r="B2" s="147" t="inlineStr">
        <is>
          <t>Item Category</t>
        </is>
      </c>
      <c r="C2" s="147" t="inlineStr">
        <is>
          <t>Item Description</t>
        </is>
      </c>
      <c r="D2" s="147" t="inlineStr">
        <is>
          <t>Item Description</t>
        </is>
      </c>
      <c r="E2" s="147" t="inlineStr">
        <is>
          <t>Model</t>
        </is>
      </c>
      <c r="F2" s="147" t="inlineStr">
        <is>
          <t>Serial Number</t>
        </is>
      </c>
      <c r="G2" s="147" t="inlineStr">
        <is>
          <t>Date of First Use</t>
        </is>
      </c>
      <c r="H2" s="147" t="inlineStr">
        <is>
          <t>Location</t>
        </is>
      </c>
      <c r="I2" s="147" t="inlineStr">
        <is>
          <t>Cost (Ksh)
(A)</t>
        </is>
      </c>
      <c r="J2" s="147" t="inlineStr">
        <is>
          <t>Investment Deduction
(B)</t>
        </is>
      </c>
      <c r="K2" s="72" t="inlineStr">
        <is>
          <t>item class</t>
        </is>
      </c>
      <c r="L2" s="72" t="inlineStr">
        <is>
          <t>Location code</t>
        </is>
      </c>
      <c r="M2" s="72" t="inlineStr">
        <is>
          <t>strSpouseCode</t>
        </is>
      </c>
      <c r="N2" s="78" t="n"/>
      <c r="O2" s="78" t="n"/>
      <c r="P2" s="78" t="n"/>
    </row>
    <row r="3" customFormat="1" s="76">
      <c r="A3" s="592" t="n"/>
      <c r="B3" s="405" t="n"/>
      <c r="C3" s="593" t="n"/>
      <c r="D3" s="36" t="n"/>
      <c r="E3" s="30" t="n"/>
      <c r="F3" s="30" t="n"/>
      <c r="G3" s="279" t="n"/>
      <c r="H3" s="36" t="n"/>
      <c r="I3" s="37" t="n"/>
      <c r="J3" s="37" t="n"/>
      <c r="K3" s="322">
        <f>IF(ISERROR(LOOKUP(H3,Location,LocationCode)),"",LOOKUP(H3,Location,LocationCode))</f>
        <v/>
      </c>
      <c r="L3" s="75">
        <f>IF(I3="","",CONCATENATE("H"))</f>
        <v/>
      </c>
      <c r="M3" s="75" t="n"/>
      <c r="N3" s="78" t="n"/>
      <c r="O3" s="78" t="n"/>
      <c r="P3" s="78" t="n"/>
    </row>
    <row r="4" customFormat="1" s="76">
      <c r="A4" s="593" t="n"/>
      <c r="B4" s="36" t="n"/>
      <c r="C4" s="593" t="n"/>
      <c r="D4" s="36" t="n"/>
      <c r="E4" s="30" t="n"/>
      <c r="F4" s="30" t="n"/>
      <c r="G4" s="279" t="n"/>
      <c r="H4" s="36" t="n"/>
      <c r="I4" s="37" t="n"/>
      <c r="J4" s="37" t="n"/>
      <c r="K4" s="75">
        <f>IF(ISERROR(LOOKUP(H4,Location,LocationCode)),"",LOOKUP(H4,Location,LocationCode))</f>
        <v/>
      </c>
      <c r="L4" s="75">
        <f>IF(I4="","",CONCATENATE("H"))</f>
        <v/>
      </c>
      <c r="M4" s="75" t="n"/>
      <c r="N4" s="78" t="n"/>
      <c r="O4" s="78" t="n"/>
      <c r="P4" s="78" t="n"/>
    </row>
    <row r="5" customFormat="1" s="76">
      <c r="A5" s="530" t="inlineStr">
        <is>
          <t>Total</t>
        </is>
      </c>
      <c r="B5" s="531" t="n"/>
      <c r="C5" s="531" t="n"/>
      <c r="D5" s="531" t="n"/>
      <c r="E5" s="531" t="n"/>
      <c r="F5" s="531" t="n"/>
      <c r="G5" s="531" t="n"/>
      <c r="H5" s="532" t="n"/>
      <c r="I5" s="77">
        <f>SUM(I3:OFFSET(IniAllPlanMach.CostTOS,-1,0))</f>
        <v/>
      </c>
      <c r="J5" s="77">
        <f>SUM(J3:OFFSET(IniAllPlanMach.ListPart1IniAllS,-1,0))</f>
        <v/>
      </c>
      <c r="K5" s="78" t="n"/>
      <c r="L5" s="75" t="n"/>
      <c r="M5" s="75" t="n"/>
      <c r="N5" s="75" t="n"/>
      <c r="O5" s="75" t="n"/>
      <c r="P5" s="75" t="n"/>
    </row>
    <row r="6" ht="49.5" customHeight="1" s="486">
      <c r="A6" s="78" t="n"/>
      <c r="B6" s="78" t="n"/>
      <c r="C6" s="78" t="n"/>
      <c r="D6" s="78" t="n"/>
      <c r="E6" s="78" t="n"/>
      <c r="F6" s="78" t="n"/>
      <c r="G6" s="78" t="n"/>
      <c r="H6" s="78" t="n"/>
      <c r="I6" s="78" t="n"/>
      <c r="J6" s="75" t="n"/>
      <c r="K6" s="75">
        <f>RIGHT(RetInf.RetEndDate, 4)</f>
        <v/>
      </c>
      <c r="L6" s="75" t="n"/>
      <c r="M6" s="75" t="n"/>
      <c r="N6" s="75">
        <f>RIGHT(RetInf.RetEndDate, 4)</f>
        <v/>
      </c>
      <c r="O6" s="75" t="n"/>
      <c r="P6" s="75" t="n"/>
      <c r="Q6" s="75" t="n"/>
    </row>
    <row r="7" ht="31.5" customFormat="1" customHeight="1" s="73">
      <c r="A7" s="527" t="inlineStr">
        <is>
          <t>Section E1 Part 1 : Addition to Plant and Machinery and Investment Deduction (Wife)</t>
        </is>
      </c>
      <c r="B7" s="528" t="n"/>
      <c r="C7" s="528" t="n"/>
      <c r="D7" s="528" t="n"/>
      <c r="E7" s="528" t="n"/>
      <c r="F7" s="528" t="n"/>
      <c r="G7" s="528" t="n"/>
      <c r="H7" s="528" t="n"/>
      <c r="I7" s="528" t="n"/>
      <c r="J7" s="529" t="n"/>
      <c r="K7" s="263" t="n"/>
      <c r="L7" s="75" t="n"/>
      <c r="M7" s="75" t="n"/>
      <c r="N7" s="72" t="n"/>
      <c r="O7" s="72" t="n"/>
      <c r="P7" s="72" t="n"/>
    </row>
    <row r="8" ht="34" customFormat="1" customHeight="1" s="74">
      <c r="A8" s="147" t="inlineStr">
        <is>
          <t>Item (New Only)</t>
        </is>
      </c>
      <c r="B8" s="147" t="inlineStr">
        <is>
          <t>Item Category</t>
        </is>
      </c>
      <c r="C8" s="147" t="inlineStr">
        <is>
          <t>Item Description</t>
        </is>
      </c>
      <c r="D8" s="147" t="inlineStr">
        <is>
          <t>Item Description</t>
        </is>
      </c>
      <c r="E8" s="147" t="inlineStr">
        <is>
          <t>Model</t>
        </is>
      </c>
      <c r="F8" s="147" t="inlineStr">
        <is>
          <t>Serial Number</t>
        </is>
      </c>
      <c r="G8" s="147" t="inlineStr">
        <is>
          <t>Date of First Use</t>
        </is>
      </c>
      <c r="H8" s="147" t="inlineStr">
        <is>
          <t>Location</t>
        </is>
      </c>
      <c r="I8" s="147" t="inlineStr">
        <is>
          <t>Cost (Ksh)
(A)</t>
        </is>
      </c>
      <c r="J8" s="147" t="inlineStr">
        <is>
          <t>Investment Deduction
(B)</t>
        </is>
      </c>
      <c r="K8" s="72" t="inlineStr">
        <is>
          <t>item class</t>
        </is>
      </c>
      <c r="L8" s="72" t="inlineStr">
        <is>
          <t>Location code</t>
        </is>
      </c>
      <c r="M8" s="72" t="inlineStr">
        <is>
          <t>strSpouseCode</t>
        </is>
      </c>
      <c r="N8" s="78" t="n"/>
      <c r="O8" s="78" t="n"/>
      <c r="P8" s="78" t="n"/>
    </row>
    <row r="9" customFormat="1" s="76">
      <c r="A9" s="593" t="n"/>
      <c r="B9" s="593" t="n"/>
      <c r="C9" s="593" t="n"/>
      <c r="D9" s="593" t="n"/>
      <c r="E9" s="587" t="n"/>
      <c r="F9" s="587" t="n"/>
      <c r="G9" s="465" t="n"/>
      <c r="H9" s="593" t="n"/>
      <c r="I9" s="86" t="n"/>
      <c r="J9" s="86" t="n"/>
      <c r="K9" s="75">
        <f>IF(ISERROR(LOOKUP(H9,Location,LocationCode)),"",LOOKUP(H9,Location,LocationCode))</f>
        <v/>
      </c>
      <c r="L9" s="75">
        <f>IF(I9="","",CONCATENATE("W"))</f>
        <v/>
      </c>
      <c r="M9" s="75" t="n"/>
      <c r="N9" s="78" t="n"/>
      <c r="O9" s="78" t="n"/>
      <c r="P9" s="78" t="n"/>
    </row>
    <row r="10" customFormat="1" s="76">
      <c r="A10" s="593" t="n"/>
      <c r="B10" s="593" t="n"/>
      <c r="C10" s="593" t="n"/>
      <c r="D10" s="593" t="n"/>
      <c r="E10" s="587" t="n"/>
      <c r="F10" s="587" t="n"/>
      <c r="G10" s="465" t="n"/>
      <c r="H10" s="593" t="n"/>
      <c r="I10" s="86" t="n"/>
      <c r="J10" s="86" t="n"/>
      <c r="K10" s="75">
        <f>IF(ISERROR(LOOKUP(H10,Location,LocationCode)),"",LOOKUP(H10,Location,LocationCode))</f>
        <v/>
      </c>
      <c r="L10" s="75">
        <f>IF(I10="","",CONCATENATE("W"))</f>
        <v/>
      </c>
      <c r="M10" s="75" t="n"/>
      <c r="N10" s="78" t="n"/>
      <c r="O10" s="78" t="n"/>
      <c r="P10" s="78" t="n"/>
    </row>
    <row r="11" customFormat="1" s="76">
      <c r="A11" s="530" t="inlineStr">
        <is>
          <t>Total</t>
        </is>
      </c>
      <c r="B11" s="531" t="n"/>
      <c r="C11" s="531" t="n"/>
      <c r="D11" s="531" t="n"/>
      <c r="E11" s="531" t="n"/>
      <c r="F11" s="531" t="n"/>
      <c r="G11" s="531" t="n"/>
      <c r="H11" s="532" t="n"/>
      <c r="I11" s="77">
        <f>SUM(I9:OFFSET(IniAllPlanMach.CostTOW,-1,0))</f>
        <v/>
      </c>
      <c r="J11" s="77">
        <f>SUM(J9:OFFSET(IniAllPlanMach.ListPart1IniAllW,-1,0))</f>
        <v/>
      </c>
      <c r="K11" s="78" t="n"/>
      <c r="L11" s="75" t="n"/>
      <c r="M11" s="75" t="n"/>
      <c r="N11" s="75" t="n"/>
      <c r="O11" s="75" t="n"/>
      <c r="P11" s="75" t="n"/>
    </row>
    <row r="12" ht="45.75" customHeight="1" s="486">
      <c r="A12" s="78" t="n"/>
      <c r="B12" s="78" t="n"/>
      <c r="C12" s="78" t="n"/>
      <c r="D12" s="78" t="n"/>
      <c r="E12" s="78" t="n"/>
      <c r="F12" s="78" t="n"/>
      <c r="G12" s="78" t="n"/>
      <c r="H12" s="78" t="n"/>
      <c r="I12" s="78" t="n"/>
      <c r="J12" s="75" t="n"/>
      <c r="K12" s="75" t="n"/>
      <c r="L12" s="75" t="n"/>
      <c r="M12" s="75" t="n"/>
      <c r="N12" s="75" t="n"/>
      <c r="O12" s="75" t="n"/>
      <c r="P12" s="75" t="n"/>
      <c r="Q12" s="75" t="n"/>
    </row>
    <row r="13" ht="31.5" customFormat="1" customHeight="1" s="80">
      <c r="A13" s="535" t="inlineStr">
        <is>
          <t>Section E1 Part 2 : Addition to Building , Investment Deduction (Self)</t>
        </is>
      </c>
      <c r="B13" s="491" t="n"/>
      <c r="C13" s="491" t="n"/>
      <c r="D13" s="491" t="n"/>
      <c r="E13" s="491" t="n"/>
      <c r="F13" s="491" t="n"/>
      <c r="G13" s="491" t="n"/>
      <c r="H13" s="491" t="n"/>
      <c r="I13" s="491" t="n"/>
      <c r="J13" s="491" t="n"/>
      <c r="K13" s="481" t="n"/>
      <c r="L13" s="265" t="n"/>
      <c r="M13" s="75" t="n"/>
      <c r="N13" s="79" t="n"/>
      <c r="O13" s="79" t="n"/>
      <c r="P13" s="79" t="n"/>
    </row>
    <row r="14" ht="66.75" customFormat="1" customHeight="1" s="80">
      <c r="A14" s="34" t="inlineStr">
        <is>
          <t>Building</t>
        </is>
      </c>
      <c r="B14" s="34" t="inlineStr">
        <is>
          <t>Building Category</t>
        </is>
      </c>
      <c r="C14" s="34" t="inlineStr">
        <is>
          <t>Storage Capacity (Metric Tonnes)</t>
        </is>
      </c>
      <c r="D14" s="34" t="inlineStr">
        <is>
          <t>Date of First Use</t>
        </is>
      </c>
      <c r="E14" s="34" t="inlineStr">
        <is>
          <t>Days in Use or Available for Use</t>
        </is>
      </c>
      <c r="F14" s="34" t="inlineStr">
        <is>
          <t>Cost (Ksh)
(A)</t>
        </is>
      </c>
      <c r="G14" s="34" t="inlineStr">
        <is>
          <t>Investment Deduction  (Ksh)
(B)</t>
        </is>
      </c>
      <c r="H14" s="34" t="inlineStr">
        <is>
          <t>Qualifying Expenditure for IBD (Ksh)
(C)= (A-B)</t>
        </is>
      </c>
      <c r="I14" s="34" t="inlineStr">
        <is>
          <t>Residual 
Value B/F (Ksh)
(D)</t>
        </is>
      </c>
      <c r="J14" s="34" t="inlineStr">
        <is>
          <t>Capital Allowance (Ksh)
(E)</t>
        </is>
      </c>
      <c r="K14" s="147" t="inlineStr">
        <is>
          <t>Residual 
Value C/F (Ksh)
(F)=(C+D-E)</t>
        </is>
      </c>
      <c r="L14" s="79" t="inlineStr">
        <is>
          <t>strSpouseCode</t>
        </is>
      </c>
      <c r="M14" s="75" t="n"/>
      <c r="N14" s="79" t="n"/>
      <c r="O14" s="79" t="n"/>
      <c r="P14" s="79" t="n"/>
    </row>
    <row r="15" ht="17" customFormat="1" customHeight="1" s="65">
      <c r="A15" s="595" t="n"/>
      <c r="B15" s="53" t="n"/>
      <c r="C15" s="53" t="n"/>
      <c r="D15" s="257" t="n"/>
      <c r="E15" s="277" t="n"/>
      <c r="F15" s="163" t="n"/>
      <c r="G15" s="55" t="n"/>
      <c r="H15" s="64">
        <f>IF(F15="","",IF(G15="","",IF(ISERROR(ROUND(F15,2)-ROUND(G15,2)),0,ROUND(F15,2)-ROUND(G15,2))))</f>
        <v/>
      </c>
      <c r="I15" s="55" t="n"/>
      <c r="J15" s="55" t="n"/>
      <c r="K15" s="64">
        <f>IF(H15&lt;&gt;"",IF(COUNTBLANK(I15:J15)=2,"",IF(ISERROR(ROUND(SUM(H15:I15),2)-ROUND(J15,2)),0,ROUND(SUM(H15:I15),2)-ROUND(J15,2))),IF(COUNTBLANK(I15:J15)=2,"",IF(ISERROR(ROUND(I15,2)-ROUND(J15,2)),0,ROUND(I15,2)-ROUND(J15,2))))</f>
        <v/>
      </c>
      <c r="L15" s="79">
        <f>IF(E15="","",CONCATENATE("H"))</f>
        <v/>
      </c>
      <c r="M15" s="75" t="n"/>
      <c r="N15" s="79" t="n"/>
      <c r="O15" s="79" t="n"/>
      <c r="P15" s="79" t="n"/>
    </row>
    <row r="16" ht="17" customFormat="1" customHeight="1" s="65">
      <c r="A16" s="595" t="n"/>
      <c r="B16" s="53" t="n"/>
      <c r="C16" s="53" t="n"/>
      <c r="D16" s="257" t="n"/>
      <c r="E16" s="277" t="n"/>
      <c r="F16" s="163" t="n"/>
      <c r="G16" s="55" t="n"/>
      <c r="H16" s="64">
        <f>IF(F16="","",IF(G16="","",IF(ISERROR(ROUND(F16,2)-ROUND(G16,2)),0,ROUND(F16,2)-ROUND(G16,2))))</f>
        <v/>
      </c>
      <c r="I16" s="55" t="n"/>
      <c r="J16" s="55" t="n"/>
      <c r="K16" s="64">
        <f>IF(H16&lt;&gt;"",IF(COUNTBLANK(I16:J16)=2,"",IF(ISERROR(ROUND(SUM(H16:I16),2)-ROUND(J16,2)),0,ROUND(SUM(H16:I16),2)-ROUND(J16,2))),IF(COUNTBLANK(I16:J16)=2,"",IF(ISERROR(ROUND(I16,2)-ROUND(J16,2)),0,ROUND(I16,2)-ROUND(J16,2))))</f>
        <v/>
      </c>
      <c r="L16" s="79">
        <f>IF(E16="","",CONCATENATE("H"))</f>
        <v/>
      </c>
      <c r="M16" s="75" t="n"/>
      <c r="N16" s="79" t="n"/>
      <c r="O16" s="79" t="n"/>
      <c r="P16" s="79" t="n"/>
    </row>
    <row r="17" ht="16.5" customFormat="1" customHeight="1" s="65">
      <c r="A17" s="533" t="inlineStr">
        <is>
          <t>Total</t>
        </is>
      </c>
      <c r="B17" s="491" t="n"/>
      <c r="C17" s="491" t="n"/>
      <c r="D17" s="491" t="n"/>
      <c r="E17" s="481" t="n"/>
      <c r="F17" s="82">
        <f>SUM(F15:OFFSET(IniAllIBD.CostTOS,-1,0))</f>
        <v/>
      </c>
      <c r="G17" s="82">
        <f>SUM(G15:OFFSET(IniAllIBD.ListPart2IniAllS,-1,0))</f>
        <v/>
      </c>
      <c r="H17" s="82">
        <f>SUM(H15:OFFSET(IniAllIBD.QualExpeTOS,-1,0))</f>
        <v/>
      </c>
      <c r="I17" s="82">
        <f>SUM(I15:OFFSET(IniAllIBD.ListPart2ResValTOS,-1,0))</f>
        <v/>
      </c>
      <c r="J17" s="82">
        <f>SUM(J15:OFFSET(IniAllIBD.ListPart2IBDTOS,-1,0))</f>
        <v/>
      </c>
      <c r="K17" s="82">
        <f>SUM(K15:OFFSET(IniAllIBD.ResiValueTOS,-1,0))</f>
        <v/>
      </c>
      <c r="L17" s="75" t="n"/>
      <c r="M17" s="75" t="n"/>
      <c r="N17" s="79" t="n"/>
      <c r="O17" s="79" t="n"/>
      <c r="P17" s="79" t="n"/>
    </row>
    <row r="18" ht="45.75" customHeight="1" s="486">
      <c r="A18" s="68" t="n"/>
      <c r="B18" s="68" t="n"/>
      <c r="C18" s="68" t="n"/>
      <c r="D18" s="68" t="n"/>
      <c r="E18" s="68" t="n"/>
      <c r="F18" s="68" t="n"/>
      <c r="G18" s="68" t="n"/>
      <c r="H18" s="68" t="n"/>
      <c r="I18" s="68" t="n"/>
      <c r="J18" s="79" t="n"/>
      <c r="K18" s="79" t="n"/>
      <c r="L18" s="79" t="n"/>
      <c r="M18" s="79" t="n"/>
      <c r="N18" s="79" t="n"/>
      <c r="O18" s="79" t="n"/>
      <c r="P18" s="79" t="n"/>
      <c r="Q18" s="79" t="n"/>
    </row>
    <row r="19" ht="31.5" customFormat="1" customHeight="1" s="80">
      <c r="A19" s="535" t="inlineStr">
        <is>
          <t>Section E1 Part 2 : Addition to Building , Investment Deduction (Wife)</t>
        </is>
      </c>
      <c r="B19" s="491" t="n"/>
      <c r="C19" s="491" t="n"/>
      <c r="D19" s="491" t="n"/>
      <c r="E19" s="491" t="n"/>
      <c r="F19" s="491" t="n"/>
      <c r="G19" s="491" t="n"/>
      <c r="H19" s="491" t="n"/>
      <c r="I19" s="491" t="n"/>
      <c r="J19" s="491" t="n"/>
      <c r="K19" s="481" t="n"/>
      <c r="L19" s="265" t="n"/>
      <c r="M19" s="75" t="n"/>
      <c r="N19" s="79" t="n"/>
      <c r="O19" s="79" t="n"/>
      <c r="P19" s="79" t="n"/>
    </row>
    <row r="20" ht="51" customFormat="1" customHeight="1" s="80">
      <c r="A20" s="34" t="inlineStr">
        <is>
          <t>Building</t>
        </is>
      </c>
      <c r="B20" s="34" t="inlineStr">
        <is>
          <t>Building Category</t>
        </is>
      </c>
      <c r="C20" s="34" t="inlineStr">
        <is>
          <t>Storage Capacity (Metric Tonnes)</t>
        </is>
      </c>
      <c r="D20" s="34" t="inlineStr">
        <is>
          <t>Date of First Use</t>
        </is>
      </c>
      <c r="E20" s="34" t="inlineStr">
        <is>
          <t>Days in Use or Available for Use</t>
        </is>
      </c>
      <c r="F20" s="34" t="inlineStr">
        <is>
          <t>Cost (Ksh)
(A)</t>
        </is>
      </c>
      <c r="G20" s="34" t="inlineStr">
        <is>
          <t>Investment Deduction  (Ksh)
(B)</t>
        </is>
      </c>
      <c r="H20" s="34" t="inlineStr">
        <is>
          <t>Qualifying Expenditure for IBD (Ksh)
(C)= (A-B)</t>
        </is>
      </c>
      <c r="I20" s="34" t="inlineStr">
        <is>
          <t>Residual 
Value B/F (Ksh)
(D)</t>
        </is>
      </c>
      <c r="J20" s="34" t="inlineStr">
        <is>
          <t>Capital Allowance (Ksh)
(E)</t>
        </is>
      </c>
      <c r="K20" s="34" t="inlineStr">
        <is>
          <t>Residual 
Value C/F (Ksh)
(F)=(C+D-E)</t>
        </is>
      </c>
      <c r="L20" s="79" t="n"/>
      <c r="M20" s="75" t="n"/>
      <c r="N20" s="79" t="n"/>
      <c r="O20" s="79" t="n"/>
      <c r="P20" s="79" t="n"/>
    </row>
    <row r="21" ht="17" customFormat="1" customHeight="1" s="65">
      <c r="A21" s="409" t="n"/>
      <c r="B21" s="409" t="n"/>
      <c r="C21" s="409" t="n"/>
      <c r="D21" s="456" t="n"/>
      <c r="E21" s="277" t="n"/>
      <c r="F21" s="64" t="n"/>
      <c r="G21" s="64" t="n"/>
      <c r="H21" s="64" t="n"/>
      <c r="I21" s="64" t="n"/>
      <c r="J21" s="64" t="n"/>
      <c r="K21" s="64">
        <f>IF(H21&lt;&gt;"",IF(COUNTBLANK(I21:J21)=2,"",IF(ISERROR(ROUND(SUM(H21:I21),2)-ROUND(J21,2)),0,ROUND(SUM(H21:I21),2)-ROUND(J21,2))),IF(COUNTBLANK(I21:J21)=2,"",IF(ISERROR(ROUND(I21,2)-ROUND(J21,2)),0,ROUND(I21,2)-ROUND(J21,2))))</f>
        <v/>
      </c>
      <c r="L21" s="322">
        <f>IF(F21="","",CONCATENATE("W"))</f>
        <v/>
      </c>
      <c r="M21" s="75" t="n"/>
      <c r="N21" s="79" t="n"/>
      <c r="O21" s="79" t="n"/>
      <c r="P21" s="79" t="n"/>
    </row>
    <row r="22" ht="17" customFormat="1" customHeight="1" s="65">
      <c r="A22" s="409" t="n"/>
      <c r="B22" s="409" t="n"/>
      <c r="C22" s="409" t="n"/>
      <c r="D22" s="456" t="n"/>
      <c r="E22" s="277" t="n"/>
      <c r="F22" s="64" t="n"/>
      <c r="G22" s="64" t="n"/>
      <c r="H22" s="64" t="n"/>
      <c r="I22" s="64" t="n"/>
      <c r="J22" s="64" t="n"/>
      <c r="K22" s="64">
        <f>IF(H22&lt;&gt;"",IF(COUNTBLANK(I22:J22)=2,"",IF(ISERROR(ROUND(SUM(H22:I22),2)-ROUND(J22,2)),0,ROUND(SUM(H22:I22),2)-ROUND(J22,2))),IF(COUNTBLANK(I22:J22)=2,"",IF(ISERROR(ROUND(I22,2)-ROUND(J22,2)),0,ROUND(I22,2)-ROUND(J22,2))))</f>
        <v/>
      </c>
      <c r="L22" s="322">
        <f>IF(F22="","",CONCATENATE("W"))</f>
        <v/>
      </c>
      <c r="M22" s="75" t="n"/>
      <c r="N22" s="79" t="n"/>
      <c r="O22" s="79" t="n"/>
      <c r="P22" s="79" t="n"/>
    </row>
    <row r="23" ht="16.5" customFormat="1" customHeight="1" s="65">
      <c r="A23" s="533" t="inlineStr">
        <is>
          <t>Total</t>
        </is>
      </c>
      <c r="B23" s="491" t="n"/>
      <c r="C23" s="491" t="n"/>
      <c r="D23" s="491" t="n"/>
      <c r="E23" s="481" t="n"/>
      <c r="F23" s="82">
        <f>SUM(F21:OFFSET(IniAllIBD.CostTOW,-1,0))</f>
        <v/>
      </c>
      <c r="G23" s="82">
        <f>SUM(G21:OFFSET(IniAllIBD.ListPart2IniAllW,-1,0))</f>
        <v/>
      </c>
      <c r="H23" s="82">
        <f>SUM(H21:OFFSET(IniAllIBD.QualExpeTOW,-1,0))</f>
        <v/>
      </c>
      <c r="I23" s="82">
        <f>SUM(I21:OFFSET(IniAllIBD.ListPart2ResValTOW,-1,0))</f>
        <v/>
      </c>
      <c r="J23" s="82">
        <f>SUM(J21:OFFSET(IniAllIBD.ListPart2IBDTOW,-1,0))</f>
        <v/>
      </c>
      <c r="K23" s="82">
        <f>SUM(K21:OFFSET(IniAllIBD.ResiValueTOW,-1,0))</f>
        <v/>
      </c>
      <c r="L23" s="322" t="n"/>
      <c r="M23" s="75" t="n"/>
      <c r="N23" s="79" t="n"/>
      <c r="O23" s="79" t="n"/>
      <c r="P23" s="79" t="n"/>
    </row>
    <row r="24" ht="51" customHeight="1" s="486">
      <c r="A24" s="68" t="n"/>
      <c r="B24" s="68" t="n"/>
      <c r="C24" s="68" t="n"/>
      <c r="D24" s="68" t="n"/>
      <c r="E24" s="68" t="n"/>
      <c r="F24" s="68" t="n"/>
      <c r="G24" s="68" t="n"/>
      <c r="H24" s="68" t="n"/>
      <c r="I24" s="68" t="n"/>
      <c r="J24" s="79" t="n"/>
      <c r="K24" s="79" t="n"/>
      <c r="L24" s="79" t="n"/>
      <c r="M24" s="79" t="n"/>
      <c r="N24" s="79" t="n"/>
      <c r="O24" s="79" t="n"/>
      <c r="P24" s="79" t="n"/>
      <c r="Q24" s="79" t="n"/>
    </row>
    <row r="25" ht="31.5" customFormat="1" customHeight="1" s="537">
      <c r="A25" s="539" t="inlineStr">
        <is>
          <t>Section E1 Part 3 : Deductions In respect of Farm works (Self)</t>
        </is>
      </c>
      <c r="B25" s="540" t="n"/>
      <c r="C25" s="540" t="n"/>
      <c r="D25" s="540" t="n"/>
      <c r="E25" s="540" t="n"/>
      <c r="F25" s="540" t="n"/>
      <c r="G25" s="245" t="n"/>
      <c r="H25" s="61" t="n"/>
      <c r="I25" s="68" t="n"/>
      <c r="J25" s="79" t="n"/>
      <c r="K25" s="79" t="n"/>
      <c r="L25" s="79" t="n"/>
      <c r="M25" s="79" t="n"/>
      <c r="N25" s="79" t="n"/>
      <c r="O25" s="79" t="n"/>
      <c r="P25" s="79" t="n"/>
      <c r="Q25" s="79" t="n"/>
    </row>
    <row r="26" ht="68" customHeight="1" s="486">
      <c r="A26" s="34" t="inlineStr">
        <is>
          <t>Qualifying Assets</t>
        </is>
      </c>
      <c r="B26" s="34" t="inlineStr">
        <is>
          <t>Date of Expenditure</t>
        </is>
      </c>
      <c r="C26" s="34" t="inlineStr">
        <is>
          <t>Expenditure 
Incurred (Ksh)
(A)</t>
        </is>
      </c>
      <c r="D26" s="34" t="inlineStr">
        <is>
          <t>Written Down Value (WDV) at the Beginning of the Year (Ksh)
(B)</t>
        </is>
      </c>
      <c r="E26" s="34" t="inlineStr">
        <is>
          <t>Sale or Transfer (Ksh)
(C)</t>
        </is>
      </c>
      <c r="F26" s="34" t="inlineStr">
        <is>
          <t>Deductions during the Year (Ksh)
(D)</t>
        </is>
      </c>
      <c r="G26" s="34" t="inlineStr">
        <is>
          <t>Written Down Value (WDV) at the End of the Year (Ksh)
(E) = (A+B-C-D)</t>
        </is>
      </c>
      <c r="H26" s="61" t="n"/>
      <c r="I26" s="68" t="n"/>
      <c r="J26" s="79" t="n"/>
      <c r="K26" s="79" t="n"/>
      <c r="L26" s="79" t="n"/>
      <c r="M26" s="79" t="n"/>
      <c r="N26" s="79" t="n"/>
      <c r="O26" s="79" t="n"/>
      <c r="P26" s="79" t="n"/>
      <c r="Q26" s="79" t="n"/>
    </row>
    <row r="27" ht="17" customHeight="1" s="486">
      <c r="A27" s="261" t="n"/>
      <c r="B27" s="280" t="n"/>
      <c r="C27" s="262" t="n"/>
      <c r="D27" s="85" t="n"/>
      <c r="E27" s="85" t="n"/>
      <c r="F27" s="85" t="n"/>
      <c r="G27" s="86">
        <f>IF(COUNTBLANK(C27:F27)=4,"",IF(ISERROR(ROUND(SUM(C27:D27),2)-ROUND(E27,2)-ROUND(F27,2)),0,ROUND(SUM(C27:D27),2)-ROUND(E27,2)-ROUND(F27,2)))</f>
        <v/>
      </c>
      <c r="H27" s="61">
        <f>IF(A27="","",CONCATENATE("H"))</f>
        <v/>
      </c>
      <c r="I27" s="68" t="n"/>
      <c r="J27" s="79" t="n"/>
      <c r="K27" s="79" t="n"/>
      <c r="L27" s="79" t="n"/>
      <c r="M27" s="79" t="n"/>
      <c r="N27" s="79" t="n"/>
      <c r="O27" s="79" t="n"/>
      <c r="P27" s="79" t="n"/>
      <c r="Q27" s="79" t="n"/>
    </row>
    <row r="28" ht="17" customHeight="1" s="486">
      <c r="A28" s="261" t="n"/>
      <c r="B28" s="280" t="n"/>
      <c r="C28" s="262" t="n"/>
      <c r="D28" s="85" t="n"/>
      <c r="E28" s="85" t="n"/>
      <c r="F28" s="85" t="n"/>
      <c r="G28" s="86">
        <f>IF(COUNTBLANK(C28:F28)=4,"",IF(ISERROR(ROUND(SUM(C28:D28),2)-ROUND(E28,2)-ROUND(F28,2)),0,ROUND(SUM(C28:D28),2)-ROUND(E28,2)-ROUND(F28,2)))</f>
        <v/>
      </c>
      <c r="H28" s="61">
        <f>IF(A28="","",CONCATENATE("H"))</f>
        <v/>
      </c>
      <c r="I28" s="68" t="n"/>
      <c r="J28" s="79" t="n"/>
      <c r="K28" s="79" t="n"/>
      <c r="L28" s="79" t="n"/>
      <c r="M28" s="79" t="n"/>
      <c r="N28" s="79" t="n"/>
      <c r="O28" s="79" t="n"/>
      <c r="P28" s="79" t="n"/>
      <c r="Q28" s="79" t="n"/>
    </row>
    <row r="29">
      <c r="A29" s="541" t="inlineStr">
        <is>
          <t>Total</t>
        </is>
      </c>
      <c r="B29" s="542" t="n"/>
      <c r="C29" s="132">
        <f>SUM(C27:OFFSET(AgrLandDed.ExpIncTOS,-1,0))</f>
        <v/>
      </c>
      <c r="D29" s="132">
        <f>SUM(D27:OFFSET(AgrLandDed.WdvTOS,-1,0))</f>
        <v/>
      </c>
      <c r="E29" s="132">
        <f>SUM(E27:OFFSET(AgrLandDed.SalesTransferTOS,-1,0))</f>
        <v/>
      </c>
      <c r="F29" s="132">
        <f>SUM(F27:OFFSET(AgrLandDed.ListDedS,-1,0))</f>
        <v/>
      </c>
      <c r="G29" s="132">
        <f>SUM(G27:OFFSET(AgrLandDed.WdvAtTheEndTOS,-1,0))</f>
        <v/>
      </c>
      <c r="H29" s="61" t="n"/>
      <c r="I29" s="68" t="n"/>
      <c r="J29" s="79" t="n"/>
      <c r="K29" s="79" t="n"/>
      <c r="L29" s="79" t="n"/>
      <c r="M29" s="79" t="n"/>
      <c r="N29" s="79" t="n"/>
      <c r="O29" s="79" t="n"/>
      <c r="P29" s="79" t="n"/>
      <c r="Q29" s="79" t="n"/>
    </row>
    <row r="30" ht="44.25" customHeight="1" s="486">
      <c r="A30" s="84" t="n"/>
      <c r="B30" s="84" t="n"/>
      <c r="C30" s="84" t="n"/>
      <c r="D30" s="84" t="n"/>
      <c r="E30" s="84" t="n"/>
      <c r="F30" s="84" t="n"/>
      <c r="G30" s="84" t="n"/>
      <c r="H30" s="61" t="n"/>
      <c r="I30" s="68" t="n"/>
      <c r="J30" s="79" t="n"/>
      <c r="K30" s="79" t="n"/>
      <c r="L30" s="79" t="n"/>
      <c r="M30" s="79" t="n"/>
      <c r="N30" s="79" t="n"/>
      <c r="O30" s="79" t="n"/>
      <c r="P30" s="79" t="n"/>
      <c r="Q30" s="79" t="n"/>
    </row>
    <row r="31" ht="31.5" customFormat="1" customHeight="1" s="537">
      <c r="A31" s="539" t="inlineStr">
        <is>
          <t>Section E1 Part 3 : Deductions In respect of Farm works (Wife)</t>
        </is>
      </c>
      <c r="B31" s="540" t="n"/>
      <c r="C31" s="540" t="n"/>
      <c r="D31" s="540" t="n"/>
      <c r="E31" s="540" t="n"/>
      <c r="F31" s="540" t="n"/>
      <c r="G31" s="245" t="n"/>
      <c r="H31" s="61" t="n"/>
      <c r="I31" s="68" t="n"/>
      <c r="J31" s="79" t="n"/>
      <c r="K31" s="79" t="n"/>
      <c r="L31" s="79" t="n"/>
      <c r="M31" s="79" t="n"/>
      <c r="N31" s="79" t="n"/>
      <c r="O31" s="79" t="n"/>
      <c r="P31" s="79" t="n"/>
      <c r="Q31" s="79" t="n"/>
    </row>
    <row r="32" ht="68" customHeight="1" s="486">
      <c r="A32" s="34" t="inlineStr">
        <is>
          <t>Qualifying Assets</t>
        </is>
      </c>
      <c r="B32" s="34" t="inlineStr">
        <is>
          <t>Date of Expenditure</t>
        </is>
      </c>
      <c r="C32" s="34" t="inlineStr">
        <is>
          <t>Expenditure 
Incurred (Ksh)
(A)</t>
        </is>
      </c>
      <c r="D32" s="34" t="inlineStr">
        <is>
          <t>Written Down Value (WDV) at the Beginning of the Year (Ksh)
(B)</t>
        </is>
      </c>
      <c r="E32" s="34" t="inlineStr">
        <is>
          <t>Sale or Transfer (Ksh)
(C)</t>
        </is>
      </c>
      <c r="F32" s="34" t="inlineStr">
        <is>
          <t>Deductions during the Year (Ksh)
(D)</t>
        </is>
      </c>
      <c r="G32" s="34" t="inlineStr">
        <is>
          <t>Written Down Value (WDV) at the End of the Year (Ksh)
(E) = (A+B-C-D)</t>
        </is>
      </c>
      <c r="H32" s="61" t="n"/>
      <c r="I32" s="68" t="n"/>
      <c r="J32" s="79" t="n"/>
      <c r="K32" s="79" t="n"/>
      <c r="L32" s="79" t="n"/>
      <c r="M32" s="79" t="n"/>
      <c r="N32" s="79" t="n"/>
      <c r="O32" s="79" t="n"/>
      <c r="P32" s="79" t="n"/>
      <c r="Q32" s="79" t="n"/>
    </row>
    <row r="33">
      <c r="A33" s="593" t="n"/>
      <c r="B33" s="465" t="n"/>
      <c r="C33" s="86" t="n"/>
      <c r="D33" s="86" t="n"/>
      <c r="E33" s="86" t="n"/>
      <c r="F33" s="86" t="n"/>
      <c r="G33" s="86">
        <f>IF(COUNTBLANK(C33:F33)=4,"",IF(ISERROR(ROUND(SUM(C33:D33),2)-ROUND(E33,2)-ROUND(F33,2)),0,ROUND(SUM(C33:D33),2)-ROUND(E33,2)-ROUND(F33,2)))</f>
        <v/>
      </c>
      <c r="H33" s="61">
        <f>IF(A33="","",CONCATENATE("W"))</f>
        <v/>
      </c>
      <c r="I33" s="68" t="n"/>
      <c r="J33" s="79" t="n"/>
      <c r="K33" s="79" t="n"/>
      <c r="L33" s="79" t="n"/>
      <c r="M33" s="79" t="n"/>
      <c r="N33" s="79" t="n"/>
      <c r="O33" s="79" t="n"/>
      <c r="P33" s="79" t="n"/>
      <c r="Q33" s="79" t="n"/>
    </row>
    <row r="34">
      <c r="A34" s="593" t="n"/>
      <c r="B34" s="465" t="n"/>
      <c r="C34" s="86" t="n"/>
      <c r="D34" s="86" t="n"/>
      <c r="E34" s="86" t="n"/>
      <c r="F34" s="86" t="n"/>
      <c r="G34" s="86">
        <f>IF(COUNTBLANK(C34:F34)=4,"",IF(ISERROR(ROUND(SUM(C34:D34),2)-ROUND(E34,2)-ROUND(F34,2)),0,ROUND(SUM(C34:D34),2)-ROUND(E34,2)-ROUND(F34,2)))</f>
        <v/>
      </c>
      <c r="H34" s="61">
        <f>IF(A34="","",CONCATENATE("W"))</f>
        <v/>
      </c>
      <c r="I34" s="68" t="n"/>
      <c r="J34" s="79" t="n"/>
      <c r="K34" s="79" t="n"/>
      <c r="L34" s="79" t="n"/>
      <c r="M34" s="79" t="n"/>
      <c r="N34" s="79" t="n"/>
      <c r="O34" s="79" t="n"/>
      <c r="P34" s="79" t="n"/>
      <c r="Q34" s="79" t="n"/>
    </row>
    <row r="35">
      <c r="A35" s="541" t="inlineStr">
        <is>
          <t>Total</t>
        </is>
      </c>
      <c r="B35" s="542" t="n"/>
      <c r="C35" s="132">
        <f>SUM(C33:OFFSET(AgrLandDed.ExpIncTOW,-1,0))</f>
        <v/>
      </c>
      <c r="D35" s="132">
        <f>SUM(D33:OFFSET(AgrLandDed.WdvTOW,-1,0))</f>
        <v/>
      </c>
      <c r="E35" s="132">
        <f>SUM(E33:OFFSET(AgrLandDed.SalesTransferTOW,-1,0))</f>
        <v/>
      </c>
      <c r="F35" s="132">
        <f>SUM(F33:OFFSET(AgrLandDed.ListDedW,-1,0))</f>
        <v/>
      </c>
      <c r="G35" s="132">
        <f>SUM(G33:OFFSET(AgrLandDed.WdvAtTheEndTOW,-1,0))</f>
        <v/>
      </c>
      <c r="H35" s="61" t="n"/>
      <c r="I35" s="68" t="n"/>
      <c r="J35" s="79" t="n"/>
      <c r="K35" s="79" t="n"/>
      <c r="L35" s="79" t="n"/>
      <c r="M35" s="79" t="n"/>
      <c r="N35" s="79" t="n"/>
      <c r="O35" s="79" t="n"/>
      <c r="P35" s="79" t="n"/>
      <c r="Q35" s="79" t="n"/>
    </row>
    <row r="36" ht="51" customHeight="1" s="486">
      <c r="A36" s="84" t="n"/>
      <c r="B36" s="84" t="n"/>
      <c r="C36" s="84" t="n"/>
      <c r="D36" s="84" t="n"/>
      <c r="E36" s="84" t="n"/>
      <c r="F36" s="84" t="n"/>
      <c r="G36" s="84" t="n"/>
      <c r="H36" s="61" t="n"/>
      <c r="I36" s="68" t="n"/>
      <c r="J36" s="79" t="n"/>
      <c r="K36" s="79" t="n"/>
      <c r="L36" s="79" t="n"/>
      <c r="M36" s="79" t="n"/>
      <c r="N36" s="79" t="n"/>
      <c r="O36" s="79" t="n"/>
      <c r="P36" s="79" t="n"/>
      <c r="Q36" s="79" t="n"/>
    </row>
    <row r="37" ht="31.5" customFormat="1" customHeight="1" s="537">
      <c r="A37" s="536" t="inlineStr">
        <is>
          <t>Section E1 Part 4 : Deductions in respect of Mining (Self)</t>
        </is>
      </c>
      <c r="J37" s="538" t="n"/>
      <c r="K37" s="266" t="n"/>
      <c r="L37" s="79" t="n"/>
      <c r="M37" s="79" t="n"/>
      <c r="N37" s="79" t="n"/>
      <c r="O37" s="79" t="n"/>
    </row>
    <row r="38" ht="51" customHeight="1" s="486">
      <c r="A38" s="406" t="inlineStr">
        <is>
          <t>Item</t>
        </is>
      </c>
      <c r="B38" s="216" t="inlineStr">
        <is>
          <t>Item Category</t>
        </is>
      </c>
      <c r="C38" s="216" t="inlineStr">
        <is>
          <t>Item Description</t>
        </is>
      </c>
      <c r="D38" s="216" t="inlineStr">
        <is>
          <t>Serial Number (If Applicable)</t>
        </is>
      </c>
      <c r="E38" s="216" t="inlineStr">
        <is>
          <t>Date of First Use</t>
        </is>
      </c>
      <c r="F38" s="216" t="inlineStr">
        <is>
          <t>Rate (%)
(A)</t>
        </is>
      </c>
      <c r="G38" s="216" t="inlineStr">
        <is>
          <t>Actual Cost (Ksh)
(B)</t>
        </is>
      </c>
      <c r="H38" s="216" t="inlineStr">
        <is>
          <t>Disposal at Cost during the Year (Ksh)
(C)</t>
        </is>
      </c>
      <c r="I38" s="216" t="inlineStr">
        <is>
          <t>Total Cost (Net of Disposal)  (Ksh) 
(D) = (B-C)</t>
        </is>
      </c>
      <c r="J38" s="216" t="inlineStr">
        <is>
          <t>Wear and Tear Deduction for the Year (Ksh)
(E) = (A*D)</t>
        </is>
      </c>
      <c r="K38" s="79" t="n"/>
      <c r="L38" s="79" t="n"/>
      <c r="M38" s="79" t="n"/>
      <c r="N38" s="79" t="n"/>
      <c r="O38" s="79" t="n"/>
    </row>
    <row r="39" ht="17" customHeight="1" s="486">
      <c r="A39" s="595" t="n"/>
      <c r="B39" s="454" t="n"/>
      <c r="C39" s="587" t="n"/>
      <c r="D39" s="30" t="n"/>
      <c r="E39" s="278" t="n"/>
      <c r="F39" s="276" t="n"/>
      <c r="G39" s="83" t="n"/>
      <c r="H39" s="83" t="n"/>
      <c r="I39" s="276">
        <f>IF(COUNTBLANK(G39:H39)=2,"",IF(ISERROR(ROUND(G39,2)-ROUND(H39,2)),0,ROUND(G39,2)-ROUND(H39,2)))</f>
        <v/>
      </c>
      <c r="J39" s="276">
        <f>IF(F39="","",IF(I39="","",F39*I39/100))</f>
        <v/>
      </c>
      <c r="K39" s="408">
        <f>IF(COUNTBLANK(A39:J39)=10,"","H")</f>
        <v/>
      </c>
      <c r="L39" s="408">
        <f>IF(COUNTBLANK(A39:J39)=10,"","MININGS")</f>
        <v/>
      </c>
      <c r="M39" s="79" t="n"/>
      <c r="N39" s="79" t="n"/>
      <c r="O39" s="79" t="n"/>
    </row>
    <row r="40" ht="17" customHeight="1" s="486">
      <c r="A40" s="595" t="n"/>
      <c r="B40" s="454" t="n"/>
      <c r="C40" s="587" t="n"/>
      <c r="D40" s="30" t="n"/>
      <c r="E40" s="278" t="n"/>
      <c r="F40" s="276" t="n"/>
      <c r="G40" s="83" t="n"/>
      <c r="H40" s="83" t="n"/>
      <c r="I40" s="276">
        <f>IF(COUNTBLANK(G40:H40)=2,"",IF(ISERROR(ROUND(G40,2)-ROUND(H40,2)),0,ROUND(G40,2)-ROUND(H40,2)))</f>
        <v/>
      </c>
      <c r="J40" s="276">
        <f>IF(F40="","",IF(I40="","",F40*I40/100))</f>
        <v/>
      </c>
      <c r="K40" s="408">
        <f>IF(COUNTBLANK(A40:J40)=10,"","H")</f>
        <v/>
      </c>
      <c r="L40" s="408">
        <f>IF(COUNTBLANK(A40:J40)=10,"","MININGS")</f>
        <v/>
      </c>
      <c r="M40" s="79" t="n"/>
      <c r="N40" s="79" t="n"/>
      <c r="O40" s="79" t="n"/>
    </row>
    <row r="41" ht="16.5" customHeight="1" s="486">
      <c r="A41" s="524" t="inlineStr">
        <is>
          <t>Total</t>
        </is>
      </c>
      <c r="H41" s="526" t="n"/>
      <c r="I41" s="132">
        <f>SUM(I39:OFFSET(DeprIntengAst.ListDepreS,-1,0))</f>
        <v/>
      </c>
      <c r="J41" s="132">
        <f>SUM(J39:OFFSET(DeprIntengAst.WDVAtTheEndTOS,-1,0))</f>
        <v/>
      </c>
      <c r="K41" s="79" t="n"/>
      <c r="L41" s="79" t="n"/>
      <c r="M41" s="79" t="n"/>
      <c r="N41" s="79" t="n"/>
      <c r="O41" s="79" t="n"/>
    </row>
    <row r="42" ht="43.5" customFormat="1" customHeight="1" s="87">
      <c r="A42" s="78" t="n"/>
      <c r="B42" s="78" t="n"/>
      <c r="C42" s="78" t="n"/>
      <c r="D42" s="78" t="n"/>
      <c r="E42" s="78" t="n"/>
      <c r="F42" s="78" t="n"/>
      <c r="G42" s="78" t="n"/>
      <c r="H42" s="78" t="n"/>
      <c r="I42" s="78" t="n"/>
      <c r="J42" s="75" t="n"/>
      <c r="K42" s="322" t="n"/>
      <c r="L42" s="75" t="n"/>
      <c r="M42" s="75" t="n"/>
      <c r="N42" s="75" t="n"/>
      <c r="O42" s="78" t="n"/>
      <c r="P42" s="78" t="n"/>
      <c r="Q42" s="78" t="n"/>
    </row>
    <row r="43" ht="31.5" customFormat="1" customHeight="1" s="537">
      <c r="A43" s="536" t="inlineStr">
        <is>
          <t>Section E1 Part 4 : Deductions in respect of Mining (Wife)</t>
        </is>
      </c>
      <c r="J43" s="538" t="n"/>
      <c r="K43" s="266" t="n"/>
      <c r="L43" s="79" t="n"/>
      <c r="M43" s="79" t="n"/>
      <c r="N43" s="79" t="n"/>
      <c r="O43" s="79" t="n"/>
    </row>
    <row r="44" ht="51" customHeight="1" s="486">
      <c r="A44" s="406" t="inlineStr">
        <is>
          <t>Item</t>
        </is>
      </c>
      <c r="B44" s="216" t="inlineStr">
        <is>
          <t>Item Category</t>
        </is>
      </c>
      <c r="C44" s="216" t="inlineStr">
        <is>
          <t>Item Description</t>
        </is>
      </c>
      <c r="D44" s="216" t="inlineStr">
        <is>
          <t>Serial Number (If Applicable)</t>
        </is>
      </c>
      <c r="E44" s="216" t="inlineStr">
        <is>
          <t>Date of First Use</t>
        </is>
      </c>
      <c r="F44" s="216" t="inlineStr">
        <is>
          <t>Rate (%)
(A)</t>
        </is>
      </c>
      <c r="G44" s="216" t="inlineStr">
        <is>
          <t>Actual Cost (Ksh)
(B)</t>
        </is>
      </c>
      <c r="H44" s="216" t="inlineStr">
        <is>
          <t>Disposal at Cost during the Year (Ksh)
(C)</t>
        </is>
      </c>
      <c r="I44" s="216" t="inlineStr">
        <is>
          <t>Total Cost (Net of Disposal)  (Ksh) 
(D) = (B-C)</t>
        </is>
      </c>
      <c r="J44" s="216" t="inlineStr">
        <is>
          <t>Wear and Tear Deduction for the Year (Ksh)
(E) = (A*D)</t>
        </is>
      </c>
      <c r="K44" s="79" t="n"/>
      <c r="L44" s="79" t="n"/>
      <c r="M44" s="79" t="n"/>
      <c r="N44" s="79" t="n"/>
      <c r="O44" s="79" t="n"/>
    </row>
    <row r="45" ht="17" customHeight="1" s="486">
      <c r="A45" s="442" t="n"/>
      <c r="B45" s="466" t="n"/>
      <c r="C45" s="587" t="n"/>
      <c r="D45" s="587" t="n"/>
      <c r="E45" s="588" t="n"/>
      <c r="F45" s="22" t="n"/>
      <c r="G45" s="590" t="n"/>
      <c r="H45" s="590" t="n"/>
      <c r="I45" s="22">
        <f>IF(COUNTBLANK(G45:H45)=2,"",IF(ISERROR(ROUND(G45,2)-ROUND(H45,2)),0,ROUND(G45,2)-ROUND(H45,2)))</f>
        <v/>
      </c>
      <c r="J45" s="22">
        <f>IF(F45="","",IF(I45="","",F45*I45/100))</f>
        <v/>
      </c>
      <c r="K45" s="408">
        <f>IF(COUNTBLANK(A45:J45)=10,"","W")</f>
        <v/>
      </c>
      <c r="L45" s="408">
        <f>IF(COUNTBLANK(A45:J45)=10,"","MININGW")</f>
        <v/>
      </c>
      <c r="M45" s="79" t="n"/>
      <c r="N45" s="79" t="n"/>
      <c r="O45" s="79" t="n"/>
    </row>
    <row r="46" ht="17" customHeight="1" s="486">
      <c r="A46" s="442" t="n"/>
      <c r="B46" s="466" t="n"/>
      <c r="C46" s="587" t="n"/>
      <c r="D46" s="587" t="n"/>
      <c r="E46" s="588" t="n"/>
      <c r="F46" s="22" t="n"/>
      <c r="G46" s="590" t="n"/>
      <c r="H46" s="590" t="n"/>
      <c r="I46" s="22">
        <f>IF(COUNTBLANK(G46:H46)=2,"",IF(ISERROR(ROUND(G46,2)-ROUND(H46,2)),0,ROUND(G46,2)-ROUND(H46,2)))</f>
        <v/>
      </c>
      <c r="J46" s="22">
        <f>IF(F46="","",IF(I46="","",F46*I46/100))</f>
        <v/>
      </c>
      <c r="K46" s="408">
        <f>IF(COUNTBLANK(A46:J46)=10,"","W")</f>
        <v/>
      </c>
      <c r="L46" s="408">
        <f>IF(COUNTBLANK(A46:J46)=10,"","MININGW")</f>
        <v/>
      </c>
      <c r="M46" s="79" t="n"/>
      <c r="N46" s="79" t="n"/>
      <c r="O46" s="79" t="n"/>
    </row>
    <row r="47" ht="16.5" customHeight="1" s="486">
      <c r="A47" s="534" t="inlineStr">
        <is>
          <t>Total</t>
        </is>
      </c>
      <c r="H47" s="526" t="n"/>
      <c r="I47" s="132">
        <f>SUM(I45:OFFSET(DeprIntengAst.ListDepreW,-1,0))</f>
        <v/>
      </c>
      <c r="J47" s="132">
        <f>SUM(J45:OFFSET(DeprIntengAst.WDVAtTheEndTOW,-1,0))</f>
        <v/>
      </c>
      <c r="K47" s="79" t="n"/>
      <c r="L47" s="79" t="n"/>
      <c r="M47" s="79" t="n"/>
      <c r="N47" s="79" t="n"/>
      <c r="O47" s="79" t="n"/>
    </row>
    <row r="48" ht="37.5" customFormat="1" customHeight="1" s="87">
      <c r="A48" s="78" t="n"/>
      <c r="B48" s="78" t="n"/>
      <c r="C48" s="78" t="n"/>
      <c r="D48" s="78" t="n"/>
      <c r="E48" s="78" t="n"/>
      <c r="F48" s="78" t="n"/>
      <c r="G48" s="78" t="n"/>
      <c r="H48" s="78" t="n"/>
      <c r="I48" s="78" t="n"/>
      <c r="J48" s="75" t="n"/>
      <c r="K48" s="75" t="n"/>
      <c r="L48" s="75" t="n"/>
      <c r="M48" s="75" t="n"/>
      <c r="N48" s="75" t="n"/>
      <c r="O48" s="78" t="n"/>
      <c r="P48" s="78" t="n"/>
      <c r="Q48" s="78" t="n"/>
    </row>
    <row r="49" ht="37.5" customHeight="1" s="486">
      <c r="A49" s="78" t="n"/>
      <c r="B49" s="78" t="n"/>
      <c r="C49" s="78" t="n"/>
      <c r="D49" s="78" t="n"/>
      <c r="E49" s="78" t="n"/>
      <c r="F49" s="78" t="n"/>
      <c r="G49" s="78" t="n"/>
      <c r="H49" s="78" t="n"/>
      <c r="I49" s="78" t="n"/>
      <c r="J49" s="75" t="n"/>
      <c r="K49" s="75" t="n"/>
      <c r="L49" s="75" t="n"/>
      <c r="M49" s="75" t="n"/>
      <c r="N49" s="75" t="n"/>
      <c r="O49" s="75" t="n"/>
      <c r="P49" s="75" t="n"/>
      <c r="Q49" s="75" t="n"/>
    </row>
    <row r="50" hidden="1" ht="16.5" customHeight="1" s="486">
      <c r="A50" s="78" t="n"/>
      <c r="B50" s="78" t="n"/>
      <c r="C50" s="78" t="n"/>
      <c r="D50" s="78" t="n"/>
      <c r="E50" s="78" t="n"/>
      <c r="F50" s="78" t="n"/>
      <c r="G50" s="78" t="n"/>
      <c r="H50" s="78" t="n"/>
      <c r="I50" s="78" t="n"/>
      <c r="J50" s="75" t="n"/>
      <c r="K50" s="75" t="n"/>
      <c r="L50" s="75" t="n"/>
      <c r="M50" s="75" t="n"/>
      <c r="N50" s="75" t="n"/>
      <c r="O50" s="75" t="n"/>
      <c r="P50" s="75" t="n"/>
      <c r="Q50" s="75" t="n"/>
    </row>
    <row r="51" hidden="1" ht="16.5" customHeight="1" s="486">
      <c r="A51" s="78" t="n"/>
      <c r="B51" s="78" t="n"/>
      <c r="C51" s="78" t="n"/>
      <c r="D51" s="78" t="n"/>
      <c r="E51" s="78" t="n"/>
      <c r="F51" s="78" t="n"/>
      <c r="G51" s="78" t="n"/>
      <c r="H51" s="78" t="n"/>
      <c r="I51" s="78" t="n"/>
      <c r="J51" s="75" t="n"/>
      <c r="K51" s="75" t="n"/>
      <c r="L51" s="75" t="n"/>
      <c r="M51" s="75" t="n"/>
      <c r="N51" s="75" t="n"/>
      <c r="O51" s="75" t="n"/>
      <c r="P51" s="75" t="n"/>
      <c r="Q51" s="75" t="n"/>
    </row>
  </sheetData>
  <sheetProtection selectLockedCells="0" selectUnlockedCells="0" algorithmName="SHA-512" sheet="1" objects="1" insertRows="1" insertHyperlinks="1" autoFilter="1" scenarios="1" formatColumns="1" deleteColumns="1" insertColumns="1" pivotTables="1" deleteRows="1" formatCells="1" saltValue="rsowLOK/vrKBsO5WCcpLHg==" formatRows="1" sort="1" spinCount="100000" hashValue="VugBFyRjyYbhwIx8MsztNFz7rYjYNaVR/MXS5FKzLOnwZTIVorYwp03NvsdotuoQ96xG3uWT6ceDgmbwTextpQ=="/>
  <mergeCells count="16">
    <mergeCell ref="A1:J1"/>
    <mergeCell ref="A37:J37"/>
    <mergeCell ref="A29:B29"/>
    <mergeCell ref="A31:F31"/>
    <mergeCell ref="A19:K19"/>
    <mergeCell ref="A41:H41"/>
    <mergeCell ref="A7:J7"/>
    <mergeCell ref="A11:H11"/>
    <mergeCell ref="A23:E23"/>
    <mergeCell ref="A47:H47"/>
    <mergeCell ref="A5:H5"/>
    <mergeCell ref="A13:K13"/>
    <mergeCell ref="A43:J43"/>
    <mergeCell ref="A17:E17"/>
    <mergeCell ref="A25:F25"/>
    <mergeCell ref="A35:B35"/>
  </mergeCells>
  <dataValidations xWindow="814" yWindow="754" count="24">
    <dataValidation sqref="C27:F28 C33:F34 F15:F16 F21 F22 F39:H40 F45:H46 I3:I4 I9:I10 I15:J16 I21:J21 I22:J22"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A3:A4 A27:A28 A33:A34 C3:C4 C9:C10 C21:C22 C39:C40 C45:C46"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operator="lessThanOrEqual">
      <formula1>50</formula1>
    </dataValidation>
    <dataValidation sqref="D45:D46 E3:F4 E9:F9 E10:F10"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are not allowed." type="textLength" operator="lessThanOrEqual">
      <formula1>50</formula1>
    </dataValidation>
    <dataValidation sqref="E39:E40 E45:E46" showDropDown="0" showInputMessage="1" showErrorMessage="0" allowBlank="0" promptTitle="Date:" prompt="Enter date value in dd/mm/yyyy format.">
      <formula1>0</formula1>
      <formula2>0</formula2>
    </dataValidation>
    <dataValidation sqref="B27:B28 B33:B34 D15:D16 D21 D22 G4 G10" showDropDown="0" showInputMessage="1" showErrorMessage="0" allowBlank="0" errorTitle="Date" error="Please enter date value in dd/mm/yyyy format." promptTitle="Date:" prompt="Enter date value in dd/mm/yyyy format." type="date">
      <formula1>1</formula1>
      <formula2>401738</formula2>
    </dataValidation>
    <dataValidation sqref="G15:G16 G21 G22" showDropDown="0" showInputMessage="1" showErrorMessage="1" allowBlank="0" errorTitle="Error:" error="Please enter positive numeric value of length less than or equal to 15 digit." promptTitle="Numeric:" prompt="Enter numeric value of length less than or equal to 15 digit." type="decimal">
      <formula1>0</formula1>
      <formula2>999999999999999</formula2>
    </dataValidation>
    <dataValidation sqref="E15:E16 E21 E22" showDropDown="0" showInputMessage="0" showErrorMessage="0" allowBlank="0" errorTitle="Data Error:" error="Please enter numeric value in range of  0 to 365." promptTitle="Numeric Day:" prompt="Enter numeric value in range of  0 to 365." type="whole">
      <formula1>0</formula1>
      <formula2>365</formula2>
    </dataValidation>
    <dataValidation sqref="G3 G9" showDropDown="0" showInputMessage="1" showErrorMessage="0" allowBlank="0" error="Please enter date value in dd/mm/yyyy format." promptTitle="Date:" prompt="Enter date value in dd/mm/yyyy format."/>
    <dataValidation sqref="H9 H10" showDropDown="0" showInputMessage="1" showErrorMessage="1" allowBlank="0" errorTitle="Data Error:" error="Please select data from DropDown List only." promptTitle="List:" prompt="Select data from DropDown List." type="list" operator="lessThanOrEqual">
      <formula1>Location</formula1>
    </dataValidation>
    <dataValidation sqref="D39:D40"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are not  allowed." type="textLength" operator="lessThanOrEqual">
      <formula1>50</formula1>
    </dataValidation>
    <dataValidation sqref="J3:J4 J9 J10" showDropDown="0" showInputMessage="1" showErrorMessage="1" allowBlank="0" errorTitle="DataError:" error="Please enter positive numeric value of length less than or equal to 15 digit." promptTitle="Numeric:" prompt="Enter numeric value of length less than or equal to 15 digit." type="decimal">
      <formula1>0</formula1>
      <formula2>999999999999999</formula2>
    </dataValidation>
    <dataValidation sqref="B40 B45:B46" showDropDown="0" showInputMessage="1" showErrorMessage="1" allowBlank="0" errorTitle="Data Error:" error="Please select value from the drop down list." prompt="Select value from the drop down list." type="list" operator="lessThanOrEqual">
      <formula1>ItemCatListE1P4</formula1>
    </dataValidation>
    <dataValidation sqref="B3 B4" showDropDown="0" showInputMessage="1" showErrorMessage="1" allowBlank="0" errorTitle="Data Error:" error="Please select value from the drop down list." promptTitle="Alphanumeric:" prompt="Select value from the drop down list." type="list" operator="lessThanOrEqual">
      <formula1>ItemCatE1P1</formula1>
    </dataValidation>
    <dataValidation sqref="B15:B16 B21" showDropDown="0" showInputMessage="1" showErrorMessage="1" allowBlank="0" errorTitle="Data Error:" error="Please select value form the drop down list." prompt="Select value form the drop down list." type="list" operator="lessThanOrEqual">
      <formula1>IF(INDIRECT("K6")&gt;="2020", BuildCatList20, BuildCatList)</formula1>
    </dataValidation>
    <dataValidation sqref="B22" showDropDown="0" showInputMessage="1" showErrorMessage="1" allowBlank="0" errorTitle="Data Error:" error="Please select value form the drop down list." promptTitle="Alphanumeric:" prompt="Select value form the drop down list." type="list" operator="lessThanOrEqual">
      <formula1>IF(INDIRECT("K6")&gt;="2020", BuildCatList20, BuildCatList)</formula1>
    </dataValidation>
    <dataValidation sqref="B39" showDropDown="0" showInputMessage="1" showErrorMessage="1" allowBlank="0" errorTitle="Data Error:" error="Please select value from the drop down list." promptTitle="Alphanumeric:" prompt="Select value from the drop down list." type="list" operator="lessThanOrEqual">
      <formula1>ItemCatListE1P4</formula1>
    </dataValidation>
    <dataValidation sqref="B9:B10" showDropDown="0" showInputMessage="1" showErrorMessage="1" allowBlank="0" error="Please select value from the drop down list." prompt="Select value from the drop down list." type="list">
      <formula1>ItemCatE1P1</formula1>
    </dataValidation>
    <dataValidation sqref="D9" showDropDown="0" showInputMessage="1" showErrorMessage="1" allowBlank="0" errorTitle="Data Error:" error="Please select value from the drop down list." prompt="Select value from the drop down list." type="list" operator="lessThanOrEqual">
      <formula1>IF(B9&lt;&gt;"", IF(B9="Machinery", ItemDescForMachine, ItemDescForIndefeasible), BV123)</formula1>
    </dataValidation>
    <dataValidation sqref="D10" showDropDown="0" showInputMessage="1" showErrorMessage="1" allowBlank="0" errorTitle="Data Error:" error="Please select value from the drop down list." prompt="Select value from the drop down list." type="list" operator="lessThanOrEqual">
      <formula1>IF(B10&lt;&gt;"", IF(B10="Machinery", ItemDescForMachine, ItemDescForIndefeasible), BV123)</formula1>
    </dataValidation>
    <dataValidation sqref="D3" showDropDown="0" showInputMessage="1" showErrorMessage="1" allowBlank="0" errorTitle="Data Error:" error="Please select value from the drop down list." prompt="Select value from the drop down list." type="list" operator="lessThanOrEqual">
      <formula1>IF(B3&lt;&gt;"", IF(B3="Machinery", ItemDescForMachine, ItemDescForIndefeasible), BV123)</formula1>
    </dataValidation>
    <dataValidation sqref="D4"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list" operator="lessThanOrEqual">
      <formula1>IF(B4&lt;&gt;"", IF(B4="Machinery", ItemDescForMachine, ItemDescForIndefeasible), BV123)</formula1>
    </dataValidation>
    <dataValidation sqref="C15" showDropDown="0" showInputMessage="1" showErrorMessage="1" allowBlank="0" errorTitle="Data Error:" error="Please enter positive numeric value greater than or equal to 100000." prompt="Enter positive numeric value greater than or equal to 100000." type="decimal" operator="greaterThanOrEqual">
      <formula1>100000</formula1>
    </dataValidation>
    <dataValidation sqref="C16" showDropDown="0" showInputMessage="1" showErrorMessage="1" allowBlank="0" errorTitle="Data Error:" error="Please enter positive numeric value greater than or equal to 100000.." prompt="Enter positive numeric value greater than or equal to 100000." type="decimal" operator="greaterThanOrEqual">
      <formula1>100000</formula1>
    </dataValidation>
    <dataValidation sqref="H3:H4" showDropDown="0" showInputMessage="1" showErrorMessage="1" allowBlank="1" type="list">
      <formula1>LocationJuly2022</formula1>
    </dataValidation>
  </dataValidations>
  <pageMargins left="0.7" right="0.7" top="0.75" bottom="0.75" header="0.5118055555555555" footer="0.5118055555555555"/>
  <pageSetup orientation="portrait" paperSize="9" firstPageNumber="0" horizontalDpi="300" verticalDpi="300"/>
  <drawing r:id="rId1"/>
</worksheet>
</file>

<file path=xl/worksheets/sheet14.xml><?xml version="1.0" encoding="utf-8"?>
<worksheet xmlns:r="http://schemas.openxmlformats.org/officeDocument/2006/relationships" xmlns="http://schemas.openxmlformats.org/spreadsheetml/2006/main">
  <sheetPr codeName="Sheet30">
    <outlinePr summaryBelow="1" summaryRight="1"/>
    <pageSetUpPr/>
  </sheetPr>
  <dimension ref="A1:K27"/>
  <sheetViews>
    <sheetView topLeftCell="A13" workbookViewId="0">
      <selection activeCell="B6" sqref="B6"/>
    </sheetView>
  </sheetViews>
  <sheetFormatPr baseColWidth="10" defaultColWidth="0" defaultRowHeight="16" zeroHeight="1"/>
  <cols>
    <col width="41.5" customWidth="1" style="104" min="1" max="1"/>
    <col width="27.6640625" customWidth="1" style="104" min="2" max="6"/>
    <col width="7.1640625" customWidth="1" style="167" min="7" max="8"/>
    <col hidden="1" width="13" customWidth="1" style="104" min="9" max="9"/>
    <col hidden="1" width="13" customWidth="1" style="104" min="10" max="16384"/>
  </cols>
  <sheetData>
    <row r="1" ht="31.5" customFormat="1" customHeight="1" s="164">
      <c r="A1" s="543" t="inlineStr">
        <is>
          <t xml:space="preserve"> Section E2 : Wear and Tear Deductions on Plant and Machinery and Deductions on Infrastructure (Self)</t>
        </is>
      </c>
      <c r="B1" s="497" t="n"/>
      <c r="C1" s="497" t="n"/>
      <c r="D1" s="497" t="n"/>
      <c r="E1" s="497" t="n"/>
      <c r="F1" s="544" t="n"/>
      <c r="G1" s="51" t="n"/>
      <c r="H1" s="51" t="n"/>
    </row>
    <row r="2" ht="21" customFormat="1" customHeight="1" s="164">
      <c r="A2" s="545" t="inlineStr">
        <is>
          <t>Part A : Reducing Balance Method</t>
        </is>
      </c>
      <c r="B2" s="491" t="n"/>
      <c r="C2" s="491" t="n"/>
      <c r="D2" s="491" t="n"/>
      <c r="E2" s="491" t="n"/>
      <c r="F2" s="481" t="n"/>
      <c r="G2" s="51" t="n"/>
      <c r="H2" s="51" t="n"/>
    </row>
    <row r="3" ht="21" customFormat="1" customHeight="1" s="164">
      <c r="A3" s="260" t="inlineStr">
        <is>
          <t>Class</t>
        </is>
      </c>
      <c r="B3" s="260" t="inlineStr">
        <is>
          <t>Class A</t>
        </is>
      </c>
      <c r="C3" s="260" t="inlineStr">
        <is>
          <t>Class B</t>
        </is>
      </c>
      <c r="D3" s="260" t="inlineStr">
        <is>
          <t>Class C</t>
        </is>
      </c>
      <c r="E3" s="260" t="inlineStr">
        <is>
          <t>Class D</t>
        </is>
      </c>
      <c r="F3" s="260" t="inlineStr">
        <is>
          <t>Total</t>
        </is>
      </c>
      <c r="G3" s="51" t="inlineStr">
        <is>
          <t>lookup codes</t>
        </is>
      </c>
      <c r="H3" s="51" t="inlineStr">
        <is>
          <t>Spouse code</t>
        </is>
      </c>
    </row>
    <row r="4" ht="17" customHeight="1" s="486">
      <c r="A4" s="168" t="inlineStr">
        <is>
          <t>Rate (%)</t>
        </is>
      </c>
      <c r="B4" s="594" t="n">
        <v>25</v>
      </c>
      <c r="C4" s="594" t="n">
        <v>10</v>
      </c>
      <c r="D4" s="594" t="n">
        <v>25</v>
      </c>
      <c r="E4" s="594" t="n">
        <v>12.5</v>
      </c>
      <c r="F4" s="594" t="n"/>
      <c r="G4" s="51" t="inlineStr">
        <is>
          <t>rateH</t>
        </is>
      </c>
      <c r="H4" s="51" t="inlineStr">
        <is>
          <t>H</t>
        </is>
      </c>
    </row>
    <row r="5" ht="34" customHeight="1" s="486">
      <c r="A5" s="27" t="inlineStr">
        <is>
          <t>Written Down Value (WDV) at the Beginning of the Year (Ksh) (A)</t>
        </is>
      </c>
      <c r="B5" s="83" t="n"/>
      <c r="C5" s="83" t="n"/>
      <c r="D5" s="590" t="n"/>
      <c r="E5" s="590" t="n"/>
      <c r="F5" s="131">
        <f>SUM(B5:E5)</f>
        <v/>
      </c>
      <c r="G5" s="51" t="inlineStr">
        <is>
          <t>balBDH</t>
        </is>
      </c>
      <c r="H5" s="51" t="inlineStr">
        <is>
          <t>H</t>
        </is>
      </c>
    </row>
    <row r="6" ht="51" customHeight="1" s="486">
      <c r="A6" s="27" t="inlineStr">
        <is>
          <t>Additions during the Year net of Investment Deduction in E1_IDA_CA (Ksh) (B)</t>
        </is>
      </c>
      <c r="B6" s="83" t="n"/>
      <c r="C6" s="83" t="n"/>
      <c r="D6" s="590" t="n"/>
      <c r="E6" s="590" t="n"/>
      <c r="F6" s="131">
        <f>SUM(B6:E6)</f>
        <v/>
      </c>
      <c r="G6" s="51" t="inlineStr">
        <is>
          <t>curAstVH</t>
        </is>
      </c>
      <c r="H6" s="51" t="inlineStr">
        <is>
          <t>H</t>
        </is>
      </c>
      <c r="I6" s="165" t="n"/>
      <c r="J6" s="165" t="n"/>
      <c r="K6" s="165" t="n"/>
    </row>
    <row r="7" ht="16.5" customHeight="1" s="486">
      <c r="A7" s="27" t="inlineStr">
        <is>
          <t>Disposal during the Year (Ksh) (C)</t>
        </is>
      </c>
      <c r="B7" s="83" t="n"/>
      <c r="C7" s="83" t="n"/>
      <c r="D7" s="590" t="n"/>
      <c r="E7" s="590" t="n"/>
      <c r="F7" s="131">
        <f>SUM(B7:E7)</f>
        <v/>
      </c>
      <c r="G7" s="51" t="inlineStr">
        <is>
          <t>salesH</t>
        </is>
      </c>
      <c r="H7" s="51" t="inlineStr">
        <is>
          <t>H</t>
        </is>
      </c>
      <c r="I7" s="165" t="n"/>
      <c r="J7" s="165" t="n"/>
      <c r="K7" s="165" t="n"/>
    </row>
    <row r="8" ht="34" customHeight="1" s="486">
      <c r="A8" s="27" t="inlineStr">
        <is>
          <t>Net Balance for Wear and Tear Deductions (Ksh) (D) = (A+B-C)</t>
        </is>
      </c>
      <c r="B8" s="131">
        <f>ROUND(SUM(B5:B6),2)-ROUND(B7,2)</f>
        <v/>
      </c>
      <c r="C8" s="131">
        <f>ROUND(SUM(C5:C6),2)-ROUND(C7,2)</f>
        <v/>
      </c>
      <c r="D8" s="131">
        <f>ROUND(SUM(D5:D6),2)-ROUND(D7,2)</f>
        <v/>
      </c>
      <c r="E8" s="131">
        <f>ROUND(SUM(E5:E6),2)-ROUND(E7,2)</f>
        <v/>
      </c>
      <c r="F8" s="131">
        <f>SUM(B8:E8)</f>
        <v/>
      </c>
      <c r="G8" s="51" t="inlineStr">
        <is>
          <t>balWATH</t>
        </is>
      </c>
      <c r="H8" s="51" t="inlineStr">
        <is>
          <t>H</t>
        </is>
      </c>
      <c r="I8" s="165" t="n"/>
      <c r="J8" s="165" t="n"/>
      <c r="K8" s="165" t="n"/>
    </row>
    <row r="9" ht="34" customHeight="1" s="486">
      <c r="A9" s="27" t="inlineStr">
        <is>
          <t>Amount of Wear and Tear Deduction for the Year (Ksh) (E)=(D)*Rate(%)</t>
        </is>
      </c>
      <c r="B9" s="131">
        <f>IF(B8&lt;0,0,B8*B4/100)</f>
        <v/>
      </c>
      <c r="C9" s="131">
        <f>IF(C8&lt;0,0,C8*C4/100)</f>
        <v/>
      </c>
      <c r="D9" s="131">
        <f>IF(D8&lt;0,0,D8*D4/100)</f>
        <v/>
      </c>
      <c r="E9" s="131">
        <f>IF(E8&lt;0,0,E8*E4/100)</f>
        <v/>
      </c>
      <c r="F9" s="131">
        <f>SUM(B9:E9)</f>
        <v/>
      </c>
      <c r="G9" s="51" t="inlineStr">
        <is>
          <t>WATH</t>
        </is>
      </c>
      <c r="H9" s="51" t="inlineStr">
        <is>
          <t>H</t>
        </is>
      </c>
    </row>
    <row r="10" ht="34" customHeight="1" s="486">
      <c r="A10" s="27" t="inlineStr">
        <is>
          <t>Written Down Value (WDV) at the End of the Year (Ksh) (F) = (D-E)</t>
        </is>
      </c>
      <c r="B10" s="131">
        <f>IF(B8&lt;0,0,ROUND(B8,2)-ROUND(B9,2))</f>
        <v/>
      </c>
      <c r="C10" s="131">
        <f>IF(C8&lt;0,0,ROUND(C8,2)-ROUND(C9,2))</f>
        <v/>
      </c>
      <c r="D10" s="131">
        <f>IF(D8&lt;0,0,ROUND(D8,2)-ROUND(D9,2))</f>
        <v/>
      </c>
      <c r="E10" s="131">
        <f>IF(E8&lt;0,0,ROUND(E8,2)-ROUND(E9,2))</f>
        <v/>
      </c>
      <c r="F10" s="131">
        <f>SUM(B10:E10)</f>
        <v/>
      </c>
      <c r="G10" s="51" t="inlineStr">
        <is>
          <t>balCDH</t>
        </is>
      </c>
      <c r="H10" s="51" t="inlineStr">
        <is>
          <t>H</t>
        </is>
      </c>
    </row>
    <row r="11" ht="19.5" customFormat="1" customHeight="1" s="166">
      <c r="G11" s="51" t="n"/>
      <c r="H11" s="51" t="n"/>
    </row>
    <row r="12" ht="19.5" customFormat="1" customHeight="1" s="166">
      <c r="G12" s="51" t="n"/>
      <c r="H12" s="51" t="n"/>
    </row>
    <row r="13" ht="31.5" customFormat="1" customHeight="1" s="164">
      <c r="A13" s="543" t="inlineStr">
        <is>
          <t xml:space="preserve"> Section E2 : Wear and Tear Deductions on Plant and Machinery and Deductions on Infrastructure (Wife)</t>
        </is>
      </c>
      <c r="B13" s="497" t="n"/>
      <c r="C13" s="497" t="n"/>
      <c r="D13" s="497" t="n"/>
      <c r="E13" s="497" t="n"/>
      <c r="F13" s="544" t="n"/>
      <c r="G13" s="51" t="n"/>
      <c r="H13" s="51" t="n"/>
    </row>
    <row r="14" ht="21" customFormat="1" customHeight="1" s="164">
      <c r="A14" s="545" t="inlineStr">
        <is>
          <t>Part A : Reducing Balance Method</t>
        </is>
      </c>
      <c r="B14" s="491" t="n"/>
      <c r="C14" s="491" t="n"/>
      <c r="D14" s="491" t="n"/>
      <c r="E14" s="491" t="n"/>
      <c r="F14" s="481" t="n"/>
      <c r="G14" s="51" t="n"/>
      <c r="H14" s="51" t="n"/>
    </row>
    <row r="15" ht="21" customFormat="1" customHeight="1" s="164">
      <c r="A15" s="260" t="inlineStr">
        <is>
          <t>Class</t>
        </is>
      </c>
      <c r="B15" s="260" t="inlineStr">
        <is>
          <t>Class A</t>
        </is>
      </c>
      <c r="C15" s="260" t="inlineStr">
        <is>
          <t>Class B</t>
        </is>
      </c>
      <c r="D15" s="260" t="inlineStr">
        <is>
          <t>Class C</t>
        </is>
      </c>
      <c r="E15" s="260" t="inlineStr">
        <is>
          <t>Class D</t>
        </is>
      </c>
      <c r="F15" s="260" t="inlineStr">
        <is>
          <t>Total</t>
        </is>
      </c>
      <c r="G15" s="51" t="inlineStr">
        <is>
          <t>lookup codes</t>
        </is>
      </c>
      <c r="H15" s="51" t="inlineStr">
        <is>
          <t>Spouse code</t>
        </is>
      </c>
    </row>
    <row r="16" ht="17" customHeight="1" s="486">
      <c r="A16" s="168" t="inlineStr">
        <is>
          <t>Rate (%)</t>
        </is>
      </c>
      <c r="B16" s="594" t="n">
        <v>25</v>
      </c>
      <c r="C16" s="594" t="n">
        <v>10</v>
      </c>
      <c r="D16" s="594" t="n">
        <v>25</v>
      </c>
      <c r="E16" s="594" t="n">
        <v>12.5</v>
      </c>
      <c r="F16" s="594" t="n"/>
      <c r="G16" s="51" t="inlineStr">
        <is>
          <t>rateW</t>
        </is>
      </c>
      <c r="H16" s="51" t="inlineStr">
        <is>
          <t>W</t>
        </is>
      </c>
    </row>
    <row r="17" ht="34" customHeight="1" s="486">
      <c r="A17" s="27" t="inlineStr">
        <is>
          <t>Written Down Value (WDV) at the Beginning of the Year (Ksh) (A)</t>
        </is>
      </c>
      <c r="B17" s="590" t="n"/>
      <c r="C17" s="590" t="n"/>
      <c r="D17" s="590" t="n"/>
      <c r="E17" s="590" t="n"/>
      <c r="F17" s="131">
        <f>SUM(B17:E17)</f>
        <v/>
      </c>
      <c r="G17" s="51" t="inlineStr">
        <is>
          <t>balBDW</t>
        </is>
      </c>
      <c r="H17" s="51" t="inlineStr">
        <is>
          <t>W</t>
        </is>
      </c>
    </row>
    <row r="18" ht="51" customHeight="1" s="486">
      <c r="A18" s="27" t="inlineStr">
        <is>
          <t>Additions during the Year net of Investment Deduction in E1_IDA_CA  (Ksh) (B)</t>
        </is>
      </c>
      <c r="B18" s="590" t="n"/>
      <c r="C18" s="590" t="n"/>
      <c r="D18" s="590" t="n"/>
      <c r="E18" s="590" t="n"/>
      <c r="F18" s="131">
        <f>SUM(B18:E18)</f>
        <v/>
      </c>
      <c r="G18" s="51" t="inlineStr">
        <is>
          <t>curAstVW</t>
        </is>
      </c>
      <c r="H18" s="51" t="inlineStr">
        <is>
          <t>W</t>
        </is>
      </c>
      <c r="I18" s="165" t="n"/>
      <c r="J18" s="165" t="n"/>
      <c r="K18" s="165" t="n"/>
    </row>
    <row r="19" ht="16.5" customHeight="1" s="486">
      <c r="A19" s="27" t="inlineStr">
        <is>
          <t>Disposal during the Year (Ksh) (C)</t>
        </is>
      </c>
      <c r="B19" s="590" t="n"/>
      <c r="C19" s="590" t="n"/>
      <c r="D19" s="590" t="n"/>
      <c r="E19" s="590" t="n"/>
      <c r="F19" s="131">
        <f>SUM(B19:E19)</f>
        <v/>
      </c>
      <c r="G19" s="51" t="inlineStr">
        <is>
          <t>salesW</t>
        </is>
      </c>
      <c r="H19" s="51" t="inlineStr">
        <is>
          <t>W</t>
        </is>
      </c>
      <c r="I19" s="165" t="n"/>
      <c r="J19" s="165" t="n"/>
      <c r="K19" s="165" t="n"/>
    </row>
    <row r="20" ht="34" customHeight="1" s="486">
      <c r="A20" s="27" t="inlineStr">
        <is>
          <t>Net Balance for Wear and Tear Deductions (Ksh) (D) = (A+B-C)</t>
        </is>
      </c>
      <c r="B20" s="131">
        <f>SUM(B17:B18)-B19</f>
        <v/>
      </c>
      <c r="C20" s="131">
        <f>SUM(C17:C18)-C19</f>
        <v/>
      </c>
      <c r="D20" s="131">
        <f>SUM(D17:D18)-D19</f>
        <v/>
      </c>
      <c r="E20" s="131">
        <f>SUM(E17:E18)-E19</f>
        <v/>
      </c>
      <c r="F20" s="131">
        <f>SUM(B20:E20)</f>
        <v/>
      </c>
      <c r="G20" s="51" t="inlineStr">
        <is>
          <t>balWATW</t>
        </is>
      </c>
      <c r="H20" s="51" t="inlineStr">
        <is>
          <t>W</t>
        </is>
      </c>
      <c r="I20" s="165" t="n"/>
      <c r="J20" s="165" t="n"/>
      <c r="K20" s="165" t="n"/>
    </row>
    <row r="21" ht="34" customHeight="1" s="486">
      <c r="A21" s="27" t="inlineStr">
        <is>
          <t>Amount of Wear and Tear Deduction for the Year (Ksh) (E)=(D)*Rate(%)</t>
        </is>
      </c>
      <c r="B21" s="131">
        <f>IF(B20&lt;0,0,B20*B16/100)</f>
        <v/>
      </c>
      <c r="C21" s="131">
        <f>IF(C20&lt;0,0,C20*C16/100)</f>
        <v/>
      </c>
      <c r="D21" s="131">
        <f>IF(D20&lt;0,0,D20*D16/100)</f>
        <v/>
      </c>
      <c r="E21" s="131">
        <f>IF(E20&lt;0,0,E20*E16/100)</f>
        <v/>
      </c>
      <c r="F21" s="131">
        <f>SUM(B21:E21)</f>
        <v/>
      </c>
      <c r="G21" s="51" t="inlineStr">
        <is>
          <t>WATW</t>
        </is>
      </c>
      <c r="H21" s="51" t="inlineStr">
        <is>
          <t>W</t>
        </is>
      </c>
    </row>
    <row r="22" ht="34" customHeight="1" s="486">
      <c r="A22" s="27" t="inlineStr">
        <is>
          <t>Written Down Value (WDV) at the End of the Year (Ksh) (F) = (D-E)</t>
        </is>
      </c>
      <c r="B22" s="131">
        <f>IF(B20&lt;0,0,B20-B21)</f>
        <v/>
      </c>
      <c r="C22" s="131">
        <f>IF(C20&lt;0,0,C20-C21)</f>
        <v/>
      </c>
      <c r="D22" s="131">
        <f>IF(D20&lt;0,0,D20-D21)</f>
        <v/>
      </c>
      <c r="E22" s="131">
        <f>IF(E20&lt;0,0,E20-E21)</f>
        <v/>
      </c>
      <c r="F22" s="131">
        <f>SUM(B22:E22)</f>
        <v/>
      </c>
      <c r="G22" s="51" t="inlineStr">
        <is>
          <t>balCDW</t>
        </is>
      </c>
      <c r="H22" s="51" t="inlineStr">
        <is>
          <t>W</t>
        </is>
      </c>
    </row>
    <row r="23" ht="37.5" customFormat="1" customHeight="1" s="166"/>
    <row r="24" ht="37.5" customHeight="1" s="486">
      <c r="A24" s="166" t="n"/>
      <c r="B24" s="166" t="n"/>
      <c r="C24" s="166" t="n"/>
      <c r="D24" s="166" t="n"/>
      <c r="E24" s="166" t="n"/>
      <c r="F24" s="166" t="n"/>
      <c r="G24" s="51" t="n"/>
      <c r="H24" s="51" t="n"/>
    </row>
    <row r="25" hidden="1" ht="16.5" customHeight="1" s="486">
      <c r="A25" s="166" t="n"/>
      <c r="B25" s="166" t="n"/>
      <c r="C25" s="166" t="n"/>
      <c r="D25" s="166" t="n"/>
      <c r="E25" s="166" t="n"/>
      <c r="F25" s="166" t="n"/>
      <c r="G25" s="51" t="n"/>
      <c r="H25" s="51" t="n"/>
    </row>
    <row r="26" hidden="1" ht="16.5" customHeight="1" s="486">
      <c r="A26" s="166" t="n"/>
      <c r="B26" s="166" t="n"/>
      <c r="C26" s="166" t="n"/>
      <c r="D26" s="166" t="n"/>
      <c r="E26" s="166" t="n"/>
      <c r="F26" s="166" t="n"/>
      <c r="G26" s="51" t="n"/>
      <c r="H26" s="51" t="n"/>
    </row>
    <row r="27" hidden="1" ht="16.5" customHeight="1" s="486">
      <c r="A27" s="166" t="n"/>
      <c r="B27" s="166" t="n"/>
      <c r="C27" s="166" t="n"/>
      <c r="D27" s="166" t="n"/>
      <c r="E27" s="166" t="n"/>
      <c r="F27" s="166" t="n"/>
      <c r="G27" s="51" t="n"/>
      <c r="H27" s="51" t="n"/>
    </row>
  </sheetData>
  <sheetProtection selectLockedCells="0" selectUnlockedCells="0" algorithmName="SHA-512" sheet="1" objects="1" insertRows="1" insertHyperlinks="1" autoFilter="1" scenarios="1" formatColumns="1" deleteColumns="1" insertColumns="1" pivotTables="1" deleteRows="1" formatCells="1" saltValue="ZJFpHoB6FzhNomv3Z9p6hg==" formatRows="1" sort="1" spinCount="100000" hashValue="B7d0hhCg6Ris+RAzzSwQhwdX6QsjeNvBqbUZWg58HyQLMe/2mpYsofEDGNLFH6gZ1c8iriRlJGKbYIxELAnsfg=="/>
  <mergeCells count="4">
    <mergeCell ref="A13:F13"/>
    <mergeCell ref="A2:F2"/>
    <mergeCell ref="A14:F14"/>
    <mergeCell ref="A1:F1"/>
  </mergeCells>
  <dataValidations xWindow="454" yWindow="435" count="1">
    <dataValidation sqref="B5:E7 B17:E19"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s>
  <pageMargins left="0.7" right="0.7" top="0.75" bottom="0.75" header="0.5118055555555555" footer="0.5118055555555555"/>
  <pageSetup orientation="portrait" firstPageNumber="0" horizontalDpi="300" verticalDpi="300"/>
  <drawing r:id="rId1"/>
</worksheet>
</file>

<file path=xl/worksheets/sheet15.xml><?xml version="1.0" encoding="utf-8"?>
<worksheet xmlns:r="http://schemas.openxmlformats.org/officeDocument/2006/relationships" xmlns="http://schemas.openxmlformats.org/spreadsheetml/2006/main">
  <sheetPr codeName="Sheet22">
    <outlinePr summaryBelow="1" summaryRight="1"/>
    <pageSetUpPr/>
  </sheetPr>
  <dimension ref="A1:M25"/>
  <sheetViews>
    <sheetView topLeftCell="A4" zoomScaleNormal="100" workbookViewId="0">
      <selection activeCell="A11" sqref="A11"/>
    </sheetView>
  </sheetViews>
  <sheetFormatPr baseColWidth="10" defaultColWidth="0" defaultRowHeight="15" customHeight="1" zeroHeight="1"/>
  <cols>
    <col width="27.6640625" customWidth="1" style="548" min="1" max="1"/>
    <col width="27.6640625" customWidth="1" style="549" min="2" max="2"/>
    <col width="27.6640625" customWidth="1" style="548" min="3" max="4"/>
    <col width="27.6640625" customWidth="1" style="549" min="5" max="6"/>
    <col width="27.6640625" customWidth="1" style="225" min="7" max="7"/>
    <col width="27.6640625" customWidth="1" style="223" min="8" max="8"/>
    <col width="27.6640625" customWidth="1" style="549" min="9" max="9"/>
    <col width="10.5" customWidth="1" style="549" min="10" max="11"/>
    <col hidden="1" width="10.5" customWidth="1" style="549" min="12" max="12"/>
    <col hidden="1" width="10.5" customWidth="1" style="549" min="13" max="16384"/>
  </cols>
  <sheetData>
    <row r="1" ht="31.5" customHeight="1" s="486">
      <c r="A1" s="551" t="inlineStr">
        <is>
          <t xml:space="preserve">  Section E2 : Wear and Tear Deductions on Plant and Machinery and Deductions on Infrastructure (Self)</t>
        </is>
      </c>
      <c r="G1" s="243" t="n"/>
      <c r="H1" s="243" t="n"/>
      <c r="I1" s="243" t="n"/>
      <c r="J1" s="294" t="n"/>
      <c r="K1" s="215" t="n"/>
    </row>
    <row r="2" ht="21" customHeight="1" s="486">
      <c r="A2" s="550" t="inlineStr">
        <is>
          <t>Part B : Straight Line Method</t>
        </is>
      </c>
      <c r="B2" s="478" t="n"/>
      <c r="C2" s="478" t="n"/>
      <c r="D2" s="478" t="n"/>
      <c r="E2" s="478" t="n"/>
      <c r="F2" s="478" t="n"/>
      <c r="G2" s="244" t="n"/>
      <c r="H2" s="244" t="n"/>
      <c r="I2" s="244" t="n"/>
      <c r="J2" s="294" t="n"/>
      <c r="K2" s="215" t="n"/>
    </row>
    <row r="3" ht="68" customHeight="1" s="486">
      <c r="A3" s="216" t="inlineStr">
        <is>
          <t>Item</t>
        </is>
      </c>
      <c r="B3" s="216" t="inlineStr">
        <is>
          <t>Item Description</t>
        </is>
      </c>
      <c r="C3" s="216" t="inlineStr">
        <is>
          <t>Serial Number</t>
        </is>
      </c>
      <c r="D3" s="216" t="inlineStr">
        <is>
          <t>Date of Purchase</t>
        </is>
      </c>
      <c r="E3" s="216" t="inlineStr">
        <is>
          <t>Rate (%)
(A)</t>
        </is>
      </c>
      <c r="F3" s="216" t="inlineStr">
        <is>
          <t>Actual Cost (Ksh)
(B)</t>
        </is>
      </c>
      <c r="G3" s="216" t="inlineStr">
        <is>
          <t>Disposal at Cost during the Year (Ksh)
(C)</t>
        </is>
      </c>
      <c r="H3" s="216" t="inlineStr">
        <is>
          <t>Total Cost (Net of Disposal)  (Ksh) 
(D) = (B-C)</t>
        </is>
      </c>
      <c r="I3" s="216" t="inlineStr">
        <is>
          <t>Amount of Wear and Tear Deduction for the Year (Ksh)
(E) =  (A*D)</t>
        </is>
      </c>
      <c r="J3" s="217" t="inlineStr">
        <is>
          <t>Looup code</t>
        </is>
      </c>
      <c r="K3" s="217" t="inlineStr">
        <is>
          <t>spouse code</t>
        </is>
      </c>
    </row>
    <row r="4" ht="16" customHeight="1" s="486">
      <c r="A4" s="587" t="n"/>
      <c r="B4" s="587" t="n"/>
      <c r="C4" s="587" t="n"/>
      <c r="D4" s="588" t="n"/>
      <c r="E4" s="589" t="n"/>
      <c r="F4" s="590" t="n"/>
      <c r="G4" s="590" t="n"/>
      <c r="H4" s="591" t="n"/>
      <c r="I4" s="591" t="n"/>
      <c r="J4" s="217">
        <f>IF(COUNTBLANK(A4:I4)=9,"","WATS")</f>
        <v/>
      </c>
      <c r="K4" s="75">
        <f>IF(COUNTBLANK(A4:I4)=9,"","H")</f>
        <v/>
      </c>
    </row>
    <row r="5" ht="16" customHeight="1" s="486">
      <c r="A5" s="587" t="n"/>
      <c r="B5" s="587" t="n"/>
      <c r="C5" s="587" t="n"/>
      <c r="D5" s="588" t="n"/>
      <c r="E5" s="589" t="n"/>
      <c r="F5" s="590" t="n"/>
      <c r="G5" s="590" t="n"/>
      <c r="H5" s="591" t="n"/>
      <c r="I5" s="591" t="n"/>
      <c r="J5" s="217">
        <f>IF(COUNTBLANK(A5:I5)=9,"","WATS")</f>
        <v/>
      </c>
      <c r="K5" s="75">
        <f>IF(COUNTBLANK(A5:I5)=9,"","H")</f>
        <v/>
      </c>
    </row>
    <row r="6" ht="16" customHeight="1" s="486">
      <c r="A6" s="546" t="inlineStr">
        <is>
          <t>Total</t>
        </is>
      </c>
      <c r="B6" s="497" t="n"/>
      <c r="C6" s="497" t="n"/>
      <c r="D6" s="497" t="n"/>
      <c r="E6" s="497" t="n"/>
      <c r="F6" s="497" t="n"/>
      <c r="G6" s="497" t="n"/>
      <c r="H6" s="218">
        <f>SUM(H4:OFFSET(WAT.TotalCostS,-1,0))</f>
        <v/>
      </c>
      <c r="I6" s="218">
        <f>SUM(I4:OFFSET(WAT.TotalWATB,-1,0))</f>
        <v/>
      </c>
      <c r="J6" s="217" t="n"/>
      <c r="K6" s="217" t="n"/>
    </row>
    <row r="7" ht="51" customHeight="1" s="486">
      <c r="A7" s="215" t="n"/>
      <c r="B7" s="215" t="n"/>
      <c r="C7" s="215" t="n"/>
      <c r="D7" s="215" t="n"/>
      <c r="E7" s="215" t="n"/>
      <c r="F7" s="215" t="n"/>
      <c r="G7" s="215" t="n"/>
      <c r="H7" s="215" t="n"/>
      <c r="I7" s="215" t="n"/>
      <c r="J7" s="215" t="n"/>
      <c r="K7" s="215" t="n"/>
      <c r="L7" s="215" t="n"/>
      <c r="M7" s="215" t="n"/>
    </row>
    <row r="8" ht="31.5" customHeight="1" s="486">
      <c r="A8" s="554" t="inlineStr">
        <is>
          <t xml:space="preserve">  Section E2 : Wear and Tear Deductions on Plant and Machinery and Deductions on Infrastructure (Wife)</t>
        </is>
      </c>
      <c r="B8" s="509" t="n"/>
      <c r="C8" s="509" t="n"/>
      <c r="D8" s="509" t="n"/>
      <c r="E8" s="509" t="n"/>
      <c r="F8" s="509" t="n"/>
      <c r="G8" s="295" t="n"/>
      <c r="H8" s="295" t="n"/>
      <c r="I8" s="296" t="n"/>
      <c r="J8" s="294" t="n"/>
      <c r="K8" s="215" t="n"/>
    </row>
    <row r="9" ht="21" customHeight="1" s="486">
      <c r="A9" s="552" t="inlineStr">
        <is>
          <t>Part B : Straight Line Method</t>
        </is>
      </c>
      <c r="B9" s="553" t="n"/>
      <c r="C9" s="553" t="n"/>
      <c r="D9" s="553" t="n"/>
      <c r="E9" s="553" t="n"/>
      <c r="F9" s="553" t="n"/>
      <c r="G9" s="244" t="n"/>
      <c r="H9" s="244" t="n"/>
      <c r="I9" s="244" t="n"/>
      <c r="J9" s="294" t="n"/>
      <c r="K9" s="215" t="n"/>
    </row>
    <row r="10" ht="68" customHeight="1" s="486">
      <c r="A10" s="216" t="inlineStr">
        <is>
          <t>Item</t>
        </is>
      </c>
      <c r="B10" s="216" t="inlineStr">
        <is>
          <t>Item Description</t>
        </is>
      </c>
      <c r="C10" s="216" t="inlineStr">
        <is>
          <t>Serial Number</t>
        </is>
      </c>
      <c r="D10" s="216" t="inlineStr">
        <is>
          <t>Date of Purchase</t>
        </is>
      </c>
      <c r="E10" s="216" t="inlineStr">
        <is>
          <t>Rate (%)
(A)</t>
        </is>
      </c>
      <c r="F10" s="216" t="inlineStr">
        <is>
          <t>Actual Cost (Ksh)
(B)</t>
        </is>
      </c>
      <c r="G10" s="216" t="inlineStr">
        <is>
          <t>Disposal at Cost during the Year (Ksh)
(C)</t>
        </is>
      </c>
      <c r="H10" s="216" t="inlineStr">
        <is>
          <t>Total Cost (Net of Disposal)  (Ksh) 
(D) = (B-C)</t>
        </is>
      </c>
      <c r="I10" s="216" t="inlineStr">
        <is>
          <t>Amount of Wear and Tear Deduction for the Year (Ksh)
(E) =  (A*D)</t>
        </is>
      </c>
      <c r="J10" s="217" t="inlineStr">
        <is>
          <t>Looup code</t>
        </is>
      </c>
      <c r="K10" s="217" t="inlineStr">
        <is>
          <t>spouse code</t>
        </is>
      </c>
    </row>
    <row r="11" ht="16" customHeight="1" s="486">
      <c r="A11" s="587" t="n"/>
      <c r="B11" s="587" t="n"/>
      <c r="C11" s="587" t="n"/>
      <c r="D11" s="588" t="n"/>
      <c r="E11" s="589" t="n"/>
      <c r="F11" s="590" t="n"/>
      <c r="G11" s="590" t="n"/>
      <c r="H11" s="591" t="n"/>
      <c r="I11" s="591" t="n"/>
      <c r="J11" s="217">
        <f>IF(COUNTBLANK(A11:I11)=9,"","WATW")</f>
        <v/>
      </c>
      <c r="K11" s="75">
        <f>IF(COUNTBLANK(A11:I11)=9,"","W")</f>
        <v/>
      </c>
    </row>
    <row r="12" ht="16" customHeight="1" s="486">
      <c r="A12" s="587" t="n"/>
      <c r="B12" s="587" t="n"/>
      <c r="C12" s="587" t="n"/>
      <c r="D12" s="588" t="n"/>
      <c r="E12" s="589" t="n"/>
      <c r="F12" s="590" t="n"/>
      <c r="G12" s="590" t="n"/>
      <c r="H12" s="591" t="n"/>
      <c r="I12" s="591" t="n"/>
      <c r="J12" s="217">
        <f>IF(COUNTBLANK(A12:I12)=9,"","WATW")</f>
        <v/>
      </c>
      <c r="K12" s="75">
        <f>IF(COUNTBLANK(A12:I12)=9,"","W")</f>
        <v/>
      </c>
    </row>
    <row r="13" ht="16" customHeight="1" s="486">
      <c r="A13" s="546" t="inlineStr">
        <is>
          <t>Total</t>
        </is>
      </c>
      <c r="B13" s="497" t="n"/>
      <c r="C13" s="497" t="n"/>
      <c r="D13" s="497" t="n"/>
      <c r="E13" s="497" t="n"/>
      <c r="F13" s="497" t="n"/>
      <c r="G13" s="497" t="n"/>
      <c r="H13" s="218">
        <f>SUM(H11:OFFSET(WAT.TotalCostW,-1,0))</f>
        <v/>
      </c>
      <c r="I13" s="218">
        <f>SUM(I11:OFFSET(WAT.TotalWATListBW,-1,0))</f>
        <v/>
      </c>
      <c r="J13" s="217" t="n"/>
      <c r="K13" s="217" t="n"/>
    </row>
    <row r="14" ht="37.5" customHeight="1" s="486">
      <c r="A14" s="215" t="n"/>
      <c r="B14" s="215" t="n"/>
      <c r="C14" s="215" t="n"/>
      <c r="D14" s="215" t="n"/>
      <c r="E14" s="215" t="n"/>
      <c r="F14" s="215" t="n"/>
      <c r="G14" s="215" t="n"/>
      <c r="H14" s="215" t="n"/>
      <c r="I14" s="215" t="n"/>
      <c r="J14" s="215" t="n"/>
      <c r="K14" s="215" t="n"/>
      <c r="L14" s="215" t="n"/>
      <c r="M14" s="215" t="n"/>
    </row>
    <row r="15" ht="37.5" customHeight="1" s="486">
      <c r="A15" s="215" t="n"/>
      <c r="B15" s="215" t="n"/>
      <c r="C15" s="215" t="n"/>
      <c r="D15" s="215" t="n"/>
      <c r="E15" s="215" t="n"/>
      <c r="F15" s="215" t="n"/>
      <c r="G15" s="215" t="n"/>
      <c r="H15" s="215" t="n"/>
      <c r="I15" s="215" t="n"/>
      <c r="J15" s="215" t="n"/>
      <c r="K15" s="215" t="n"/>
      <c r="L15" s="215" t="n"/>
      <c r="M15" s="215" t="n"/>
    </row>
    <row r="16" hidden="1" s="486">
      <c r="A16" s="219" t="n"/>
      <c r="B16" s="220" t="n"/>
      <c r="C16" s="219" t="n"/>
      <c r="D16" s="219" t="n"/>
      <c r="E16" s="221" t="n"/>
      <c r="F16" s="222" t="n"/>
      <c r="G16" s="223" t="n"/>
    </row>
    <row r="17" hidden="1" s="486">
      <c r="A17" s="219" t="n"/>
      <c r="B17" s="220" t="n"/>
      <c r="C17" s="219" t="n"/>
      <c r="D17" s="219" t="n"/>
      <c r="E17" s="221" t="n"/>
      <c r="F17" s="222" t="n"/>
      <c r="G17" s="224" t="n"/>
      <c r="H17" s="224" t="n"/>
    </row>
    <row r="18" hidden="1" s="486">
      <c r="A18" s="219" t="n"/>
      <c r="B18" s="220" t="n"/>
      <c r="C18" s="219" t="n"/>
      <c r="D18" s="219" t="n"/>
      <c r="E18" s="221" t="n"/>
      <c r="F18" s="222" t="n"/>
      <c r="G18" s="223" t="n"/>
    </row>
    <row r="19" hidden="1" s="486">
      <c r="A19" s="219" t="n"/>
      <c r="B19" s="220" t="n"/>
      <c r="C19" s="219" t="n"/>
      <c r="D19" s="219" t="n"/>
      <c r="E19" s="221" t="n"/>
      <c r="F19" s="222" t="n"/>
    </row>
    <row r="20" hidden="1" s="486">
      <c r="A20" s="226" t="n"/>
      <c r="B20" s="222" t="n"/>
      <c r="C20" s="226" t="n"/>
      <c r="D20" s="226" t="n"/>
      <c r="E20" s="222" t="n"/>
      <c r="F20" s="222" t="n"/>
      <c r="G20" s="223" t="n"/>
    </row>
    <row r="21" hidden="1" s="486">
      <c r="A21" s="226" t="n"/>
      <c r="B21" s="227" t="n"/>
      <c r="C21" s="226" t="n"/>
      <c r="D21" s="226" t="n"/>
      <c r="E21" s="222" t="n"/>
      <c r="F21" s="222" t="n"/>
      <c r="G21" s="223" t="n"/>
    </row>
    <row r="22" hidden="1" s="486">
      <c r="A22" s="226" t="n"/>
      <c r="B22" s="222" t="n"/>
      <c r="C22" s="226" t="n"/>
      <c r="D22" s="226" t="n"/>
      <c r="E22" s="222" t="n"/>
      <c r="F22" s="222" t="n"/>
      <c r="G22" s="223" t="n"/>
    </row>
    <row r="23" hidden="1" s="486">
      <c r="A23" s="226" t="n"/>
      <c r="B23" s="547" t="n"/>
      <c r="F23" s="222" t="n"/>
      <c r="G23" s="224" t="n"/>
    </row>
    <row r="24" hidden="1" s="486">
      <c r="A24" s="226" t="n"/>
      <c r="B24" s="222" t="n"/>
      <c r="C24" s="226" t="n"/>
      <c r="D24" s="226" t="n"/>
      <c r="E24" s="222" t="n"/>
      <c r="F24" s="222" t="n"/>
      <c r="G24" s="223" t="n"/>
    </row>
    <row r="25" hidden="1" s="486">
      <c r="A25" s="226" t="n"/>
      <c r="B25" s="228" t="n"/>
      <c r="C25" s="226" t="n"/>
      <c r="D25" s="226" t="n"/>
      <c r="E25" s="222" t="n"/>
      <c r="F25" s="222" t="n"/>
      <c r="G25" s="223" t="n"/>
    </row>
  </sheetData>
  <sheetProtection selectLockedCells="0" selectUnlockedCells="0" algorithmName="SHA-512" sheet="1" objects="1" insertRows="1" insertHyperlinks="1" autoFilter="1" scenarios="1" formatColumns="1" deleteColumns="1" insertColumns="1" pivotTables="1" deleteRows="1" formatCells="1" saltValue="ufBQ1UEbHnm2a10kz1aROw==" formatRows="1" sort="1" spinCount="100000" hashValue="NUMmLJcaEmYtEU7JgeBwIjX9k0VFqFwy3Drxo7A98Izm4lCIQIDL5lR5etA71EJfoNbcR1ZTaz8RnV0a0gW/Hw=="/>
  <mergeCells count="7">
    <mergeCell ref="A13:G13"/>
    <mergeCell ref="B23:E23"/>
    <mergeCell ref="A2:F2"/>
    <mergeCell ref="A6:G6"/>
    <mergeCell ref="A1:F1"/>
    <mergeCell ref="A9:F9"/>
    <mergeCell ref="A8:F8"/>
  </mergeCells>
  <dataValidations xWindow="141" yWindow="335" count="5">
    <dataValidation sqref="E4:E5 E11:E12" showDropDown="0" showInputMessage="1" showErrorMessage="1" allowBlank="0" errorTitle="Data Error:" error="Please enter Percentage value in range of  0 to 100." promptTitle="Percentage:" prompt="Enter Percentage value in range of  0 to 100." type="decimal">
      <formula1>0</formula1>
      <formula2>100</formula2>
    </dataValidation>
    <dataValidation sqref="D4:D5 D11:D12" showDropDown="0" showInputMessage="1" showErrorMessage="0" allowBlank="0" promptTitle="Date:" prompt="Enter date value in dd/mm/yyyy format.">
      <formula1>0</formula1>
      <formula2>0</formula2>
    </dataValidation>
    <dataValidation sqref="F4:G5 F11:G12"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A4:B5 A11:B12"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operator="lessThanOrEqual">
      <formula1>50</formula1>
    </dataValidation>
    <dataValidation sqref="C4:C5 C11:C12"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are not allowed." type="textLength" operator="lessThanOrEqual">
      <formula1>50</formula1>
    </dataValidation>
  </dataValidations>
  <pageMargins left="0.7" right="0.7" top="0.75" bottom="0.75" header="0.3" footer="0.3"/>
  <pageSetup orientation="portrait"/>
  <drawing r:id="rId1"/>
</worksheet>
</file>

<file path=xl/worksheets/sheet16.xml><?xml version="1.0" encoding="utf-8"?>
<worksheet xmlns:r="http://schemas.openxmlformats.org/officeDocument/2006/relationships" xmlns="http://schemas.openxmlformats.org/spreadsheetml/2006/main">
  <sheetPr codeName="Sheet38">
    <outlinePr summaryBelow="1" summaryRight="1"/>
    <pageSetUpPr/>
  </sheetPr>
  <dimension ref="A1:E14"/>
  <sheetViews>
    <sheetView topLeftCell="B1" workbookViewId="0">
      <selection activeCell="G3" sqref="G3"/>
    </sheetView>
  </sheetViews>
  <sheetFormatPr baseColWidth="10" defaultColWidth="0" defaultRowHeight="16" zeroHeight="1"/>
  <cols>
    <col width="8.5" customWidth="1" style="525" min="1" max="1"/>
    <col width="80.6640625" customWidth="1" style="525" min="2" max="2"/>
    <col width="27.6640625" customWidth="1" style="525" min="3" max="4"/>
    <col width="14.33203125" customWidth="1" style="557" min="5" max="5"/>
    <col hidden="1" width="26.1640625" customWidth="1" style="525" min="6" max="6"/>
    <col hidden="1" width="26.1640625" customWidth="1" style="525" min="7" max="16384"/>
  </cols>
  <sheetData>
    <row r="1" ht="31.5" customFormat="1" customHeight="1" s="537">
      <c r="A1" s="555" t="inlineStr">
        <is>
          <t>Section E : Summary of Capital Allowance</t>
        </is>
      </c>
      <c r="B1" s="478" t="n"/>
      <c r="C1" s="478" t="n"/>
      <c r="D1" s="478" t="n"/>
      <c r="E1" s="298" t="n"/>
    </row>
    <row r="2" ht="21" customFormat="1" customHeight="1" s="537">
      <c r="A2" s="25" t="inlineStr">
        <is>
          <t>Sr. No.</t>
        </is>
      </c>
      <c r="B2" s="25" t="inlineStr">
        <is>
          <t>Description</t>
        </is>
      </c>
      <c r="C2" s="25" t="inlineStr">
        <is>
          <t>Self (Ksh)</t>
        </is>
      </c>
      <c r="D2" s="297" t="inlineStr">
        <is>
          <t>Wife (Ksh)</t>
        </is>
      </c>
      <c r="E2" s="298" t="n"/>
    </row>
    <row r="3" ht="34" customHeight="1" s="486">
      <c r="A3" s="118" t="n">
        <v>1</v>
      </c>
      <c r="B3" s="29" t="inlineStr">
        <is>
          <t>Investment Deduction – Plant and Machinery (Total of "Investment Deduction" from E1_IDA_CA Part 1)</t>
        </is>
      </c>
      <c r="C3" s="70">
        <f>IniAllPlanMach.ListPart1IniAllS</f>
        <v/>
      </c>
      <c r="D3" s="70">
        <f>IniAllPlanMach.ListPart1IniAllW</f>
        <v/>
      </c>
      <c r="E3" s="68" t="n"/>
    </row>
    <row r="4" ht="34" customHeight="1" s="486">
      <c r="A4" s="118" t="n">
        <v>2</v>
      </c>
      <c r="B4" s="29" t="inlineStr">
        <is>
          <t>Investment Deduction – Industrial Building (Total of "Investment Deduction" from E1_IDA_CA Part 2)</t>
        </is>
      </c>
      <c r="C4" s="70">
        <f>IniAllIBD.ListPart2IniAllS</f>
        <v/>
      </c>
      <c r="D4" s="70">
        <f>IniAllIBD.ListPart2IniAllW</f>
        <v/>
      </c>
      <c r="E4" s="68" t="n"/>
    </row>
    <row r="5" ht="34" customHeight="1" s="486">
      <c r="A5" s="118" t="n">
        <v>3</v>
      </c>
      <c r="B5" s="29" t="inlineStr">
        <is>
          <t>Capital Allowance - Industrial Building (Total of " Capital Allowance" from E1_IDA_CA Part 2)</t>
        </is>
      </c>
      <c r="C5" s="70">
        <f>IniAllIBD.ListPart2IBDTOS</f>
        <v/>
      </c>
      <c r="D5" s="70">
        <f>IniAllIBD.ListPart2IBDTOW</f>
        <v/>
      </c>
      <c r="E5" s="68" t="n"/>
    </row>
    <row r="6" ht="34" customHeight="1" s="486">
      <c r="A6" s="118" t="n">
        <v>4</v>
      </c>
      <c r="B6" s="29" t="inlineStr">
        <is>
          <t>Wear and Tear Deduction (Total of "Amount of Wear and Tear Deduction during the Year" from E2_CA_WTA_WDV)</t>
        </is>
      </c>
      <c r="C6" s="70">
        <f>WAT.TotalWATS</f>
        <v/>
      </c>
      <c r="D6" s="70">
        <f>WAT.TotalWATW</f>
        <v/>
      </c>
      <c r="E6" s="68" t="n"/>
    </row>
    <row r="7" ht="34" customHeight="1" s="486">
      <c r="A7" s="118" t="n">
        <v>5</v>
      </c>
      <c r="B7" s="29" t="inlineStr">
        <is>
          <t>Wear and Tear Deduction (Total of "Amount of Wear and Tear Deduction during the Year" from E2_CA_WTA_SLM)</t>
        </is>
      </c>
      <c r="C7" s="70">
        <f>WAT.TotalWATListBS</f>
        <v/>
      </c>
      <c r="D7" s="70">
        <f>WAT.TotalWATListBW</f>
        <v/>
      </c>
      <c r="E7" s="68" t="n"/>
    </row>
    <row r="8" ht="34" customHeight="1" s="486">
      <c r="A8" s="118" t="n">
        <v>6</v>
      </c>
      <c r="B8" s="29" t="inlineStr">
        <is>
          <t>Deductions in Respect of Farm Works (Total of "Deductions during the Year" from E1_IDA_CA Part 3)</t>
        </is>
      </c>
      <c r="C8" s="70">
        <f>AgrLandDed.ListDedS</f>
        <v/>
      </c>
      <c r="D8" s="70">
        <f>AgrLandDed.ListDedW</f>
        <v/>
      </c>
      <c r="E8" s="68" t="n"/>
    </row>
    <row r="9" ht="34" customHeight="1" s="486">
      <c r="A9" s="118" t="n">
        <v>7</v>
      </c>
      <c r="B9" s="29" t="inlineStr">
        <is>
          <t>Deductions in respect of Mining(Total of " Wear and Tear Deduction for the Year" from E1_IDA_CA Part 4)</t>
        </is>
      </c>
      <c r="C9" s="70">
        <f>DeprIntengAst.WDVAtTheEndTOS</f>
        <v/>
      </c>
      <c r="D9" s="70">
        <f>DeprIntengAst.WDVAtTheEndTOW</f>
        <v/>
      </c>
      <c r="E9" s="68" t="n"/>
    </row>
    <row r="10" ht="17" customHeight="1" s="486">
      <c r="A10" s="119" t="n">
        <v>8</v>
      </c>
      <c r="B10" s="27" t="inlineStr">
        <is>
          <t>Total of all Deductions towards Capital Expenditure (1 to 7)</t>
        </is>
      </c>
      <c r="C10" s="71">
        <f>SUM(C3:C9)</f>
        <v/>
      </c>
      <c r="D10" s="71">
        <f>SUM(D3:D9)</f>
        <v/>
      </c>
      <c r="E10" s="68" t="n"/>
    </row>
    <row r="11" ht="37.5" customHeight="1" s="486">
      <c r="A11" s="556" t="n"/>
    </row>
    <row r="12" ht="37.5" customHeight="1" s="486"/>
    <row r="13" hidden="1" ht="16.5" customHeight="1" s="486"/>
    <row r="14" hidden="1" ht="16.5" customHeight="1" s="486"/>
  </sheetData>
  <sheetProtection selectLockedCells="0" selectUnlockedCells="0" algorithmName="SHA-512" sheet="1" objects="1" insertRows="1" insertHyperlinks="1" autoFilter="1" scenarios="1" formatColumns="1" deleteColumns="1" insertColumns="1" pivotTables="1" deleteRows="1" formatCells="1" saltValue="fUQdUQmEcJyKYVezRyKwng==" formatRows="1" sort="1" spinCount="100000" hashValue="L81hzY46uh5K9TGAvQnz8M1GsTIAMfQuHggePrbPeosrpaEzetMrNl2NIAcmcHc1G9sF6PeWhDuHDFI9BJd/XQ=="/>
  <mergeCells count="2">
    <mergeCell ref="A1:D1"/>
    <mergeCell ref="A11:E14"/>
  </mergeCells>
  <pageMargins left="0.7" right="0.7" top="0.75" bottom="0.75" header="0.5118055555555555" footer="0.5118055555555555"/>
  <pageSetup orientation="portrait" paperSize="9" firstPageNumber="0" horizontalDpi="300" verticalDpi="300"/>
  <drawing r:id="rId1"/>
</worksheet>
</file>

<file path=xl/worksheets/sheet17.xml><?xml version="1.0" encoding="utf-8"?>
<worksheet xmlns:r="http://schemas.openxmlformats.org/officeDocument/2006/relationships" xmlns="http://schemas.openxmlformats.org/spreadsheetml/2006/main">
  <sheetPr codeName="Sheet3">
    <outlinePr summaryBelow="1" summaryRight="1"/>
    <pageSetUpPr/>
  </sheetPr>
  <dimension ref="A1:IV30"/>
  <sheetViews>
    <sheetView workbookViewId="0">
      <selection activeCell="A6" sqref="A6:G6"/>
    </sheetView>
  </sheetViews>
  <sheetFormatPr baseColWidth="10" defaultColWidth="0" defaultRowHeight="16" zeroHeight="1"/>
  <cols>
    <col width="27.6640625" customWidth="1" style="525" min="1" max="8"/>
    <col width="14.33203125" customWidth="1" style="58" min="9" max="9"/>
    <col hidden="1" width="13" customWidth="1" style="525" min="10" max="10"/>
    <col hidden="1" width="13" customWidth="1" style="525" min="11" max="16384"/>
  </cols>
  <sheetData>
    <row r="1" ht="31.5" customFormat="1" customHeight="1" s="559">
      <c r="A1" s="560" t="inlineStr">
        <is>
          <t>Section F : Details of Employment Income(Self)</t>
        </is>
      </c>
      <c r="B1" s="491" t="n"/>
      <c r="C1" s="491" t="n"/>
      <c r="D1" s="491" t="n"/>
      <c r="E1" s="491" t="n"/>
      <c r="F1" s="491" t="n"/>
      <c r="G1" s="241" t="n"/>
      <c r="H1" s="242" t="n"/>
      <c r="I1" s="430" t="n"/>
    </row>
    <row r="2" ht="68" customFormat="1" customHeight="1" s="559">
      <c r="A2" s="34" t="inlineStr">
        <is>
          <t>PIN of Employer</t>
        </is>
      </c>
      <c r="B2" s="34" t="inlineStr">
        <is>
          <t>Name of Employer</t>
        </is>
      </c>
      <c r="C2" s="34" t="inlineStr">
        <is>
          <t>Gross Pay (Ksh)
(A)</t>
        </is>
      </c>
      <c r="D2" s="34" t="inlineStr">
        <is>
          <t>Allowances and Benefits from Employment (Other than Car and Housing) (Ksh) (B)</t>
        </is>
      </c>
      <c r="E2" s="34" t="inlineStr">
        <is>
          <t>Value of Car Benefit (Total of "Value of Car Benefit" from I_Computation_
of_Car_Benefit)(Ksh) (C)</t>
        </is>
      </c>
      <c r="F2" s="34" t="inlineStr">
        <is>
          <t>Net Value of 
Housing (Ksh)
(D)</t>
        </is>
      </c>
      <c r="G2" s="34" t="inlineStr">
        <is>
          <t>Pension if in excess of 300,000 (Ksh)
(E)</t>
        </is>
      </c>
      <c r="H2" s="34" t="inlineStr">
        <is>
          <t>Total Employment Income
(Ksh) (F) = (A+B+C+D+E)</t>
        </is>
      </c>
      <c r="I2" s="430" t="n"/>
    </row>
    <row r="3" ht="17" customFormat="1" customHeight="1" s="559">
      <c r="A3" s="30" t="inlineStr">
        <is>
          <t>P051923300V</t>
        </is>
      </c>
      <c r="B3" s="28" t="inlineStr">
        <is>
          <t>CERTIFICATE</t>
        </is>
      </c>
      <c r="C3" s="31" t="n">
        <v>502230.75</v>
      </c>
      <c r="D3" s="31" t="n">
        <v>0</v>
      </c>
      <c r="E3" s="22">
        <f>IF(A3="","",IF(ISERROR(SUMIF(PINofEmployerCarS,CONCATENATE("=",A3),valueOfCarS)),0,SUMIF(PINofEmployerCarS,CONCATENATE("=",A3),valueOfCarS)))</f>
        <v/>
      </c>
      <c r="F3" s="31" t="n">
        <v>0</v>
      </c>
      <c r="G3" s="31" t="n">
        <v>0</v>
      </c>
      <c r="H3" s="22">
        <f>IF(COUNTBLANK(C3:G3)=5,"",SUM(C3:G3))</f>
        <v/>
      </c>
      <c r="I3" s="430">
        <f>IF(F3="","",CONCATENATE("H"))</f>
        <v/>
      </c>
    </row>
    <row r="4" ht="17" customFormat="1" customHeight="1" s="559">
      <c r="A4" s="30" t="n"/>
      <c r="B4" s="28" t="n"/>
      <c r="C4" s="31" t="n"/>
      <c r="D4" s="31" t="n"/>
      <c r="E4" s="22">
        <f>IF(A4="","",IF(ISERROR(SUMIF(PINofEmployerCarS,CONCATENATE("=",A4),valueOfCarS)),0,SUMIF(PINofEmployerCarS,CONCATENATE("=",A4),valueOfCarS)))</f>
        <v/>
      </c>
      <c r="F4" s="31" t="n"/>
      <c r="G4" s="31" t="n"/>
      <c r="H4" s="22">
        <f>IF(COUNTBLANK(C4:G4)=5,"",SUM(C4:G4))</f>
        <v/>
      </c>
      <c r="I4" s="430">
        <f>IF(F4="","",CONCATENATE("H"))</f>
        <v/>
      </c>
    </row>
    <row r="5" customFormat="1" s="559">
      <c r="A5" s="561" t="inlineStr">
        <is>
          <t>Total</t>
        </is>
      </c>
      <c r="B5" s="474" t="n"/>
      <c r="C5" s="474" t="n"/>
      <c r="D5" s="474" t="n"/>
      <c r="E5" s="474" t="n"/>
      <c r="F5" s="474" t="n"/>
      <c r="G5" s="475" t="n"/>
      <c r="H5" s="412">
        <f>SUM(H3:OFFSET(EmpIncome.ListSTO,-1,0))</f>
        <v/>
      </c>
      <c r="I5" s="430" t="n"/>
    </row>
    <row r="6" ht="16.5" customFormat="1" customHeight="1" s="559">
      <c r="A6" s="561" t="inlineStr">
        <is>
          <t>January - June:  Income</t>
        </is>
      </c>
      <c r="B6" s="474" t="n"/>
      <c r="C6" s="474" t="n"/>
      <c r="D6" s="474" t="n"/>
      <c r="E6" s="474" t="n"/>
      <c r="F6" s="474" t="n"/>
      <c r="G6" s="475" t="n"/>
      <c r="H6" s="413" t="n">
        <v>251451.35</v>
      </c>
      <c r="I6" s="441">
        <f>EmpIncome.ListSTOAPRDEC+EmpIncome.ListSTOJANMAR</f>
        <v/>
      </c>
    </row>
    <row r="7" ht="16.5" customFormat="1" customHeight="1" s="559">
      <c r="A7" s="561" t="inlineStr">
        <is>
          <t>January - June:  Pension</t>
        </is>
      </c>
      <c r="B7" s="474" t="n"/>
      <c r="C7" s="474" t="n"/>
      <c r="D7" s="474" t="n"/>
      <c r="E7" s="474" t="n"/>
      <c r="F7" s="474" t="n"/>
      <c r="G7" s="475" t="n"/>
      <c r="H7" s="413" t="n">
        <v>0</v>
      </c>
      <c r="I7" s="430" t="n"/>
    </row>
    <row r="8" ht="16.5" customFormat="1" customHeight="1" s="559">
      <c r="A8" s="561" t="inlineStr">
        <is>
          <t>July - December:  Income</t>
        </is>
      </c>
      <c r="B8" s="474" t="n"/>
      <c r="C8" s="474" t="n"/>
      <c r="D8" s="474" t="n"/>
      <c r="E8" s="474" t="n"/>
      <c r="F8" s="474" t="n"/>
      <c r="G8" s="475" t="n"/>
      <c r="H8" s="413" t="n">
        <v>250779.4</v>
      </c>
      <c r="I8" s="430" t="n"/>
    </row>
    <row r="9" ht="16.5" customFormat="1" customHeight="1" s="559">
      <c r="A9" s="562" t="inlineStr">
        <is>
          <t>July - December:  Pension</t>
        </is>
      </c>
      <c r="B9" s="474" t="n"/>
      <c r="C9" s="474" t="n"/>
      <c r="D9" s="474" t="n"/>
      <c r="E9" s="474" t="n"/>
      <c r="F9" s="474" t="n"/>
      <c r="G9" s="475" t="n"/>
      <c r="H9" s="413" t="n">
        <v>0</v>
      </c>
      <c r="I9" s="430">
        <f>EmpIncome.ListSPENSJANMAR+EmpIncome.ListSPENSAPRDEC</f>
        <v/>
      </c>
    </row>
    <row r="10" customFormat="1" s="433">
      <c r="A10" s="411" t="n"/>
      <c r="B10" s="411" t="n"/>
      <c r="C10" s="411" t="n"/>
      <c r="D10" s="411" t="n"/>
      <c r="E10" s="411" t="n"/>
      <c r="F10" s="411" t="n"/>
      <c r="G10" s="411" t="n"/>
      <c r="H10" s="411" t="n"/>
      <c r="I10" s="432" t="n"/>
      <c r="J10" s="432" t="n"/>
      <c r="K10" s="432" t="n"/>
      <c r="L10" s="432" t="n"/>
      <c r="M10" s="432" t="n"/>
      <c r="N10" s="432" t="n"/>
      <c r="O10" s="432" t="n"/>
      <c r="P10" s="432" t="n"/>
      <c r="Q10" s="432" t="n"/>
      <c r="R10" s="432" t="n"/>
      <c r="S10" s="432" t="n"/>
      <c r="T10" s="432" t="n"/>
      <c r="U10" s="432" t="n"/>
      <c r="V10" s="432" t="n"/>
      <c r="W10" s="432" t="n"/>
      <c r="X10" s="432" t="n"/>
      <c r="Y10" s="432" t="n"/>
      <c r="Z10" s="432" t="n"/>
      <c r="AA10" s="432" t="n"/>
      <c r="AB10" s="432" t="n"/>
      <c r="AC10" s="432" t="n"/>
      <c r="AD10" s="432" t="n"/>
      <c r="AE10" s="432" t="n"/>
      <c r="AF10" s="432" t="n"/>
      <c r="AG10" s="432" t="n"/>
      <c r="AH10" s="432" t="n"/>
      <c r="AI10" s="432" t="n"/>
      <c r="AJ10" s="432" t="n"/>
      <c r="AK10" s="432" t="n"/>
      <c r="AL10" s="432" t="n"/>
      <c r="AM10" s="432" t="n"/>
      <c r="AN10" s="432" t="n"/>
      <c r="AO10" s="432" t="n"/>
      <c r="AP10" s="432" t="n"/>
      <c r="AQ10" s="432" t="n"/>
      <c r="AR10" s="432" t="n"/>
      <c r="AS10" s="432" t="n"/>
      <c r="AT10" s="432" t="n"/>
      <c r="AU10" s="432" t="n"/>
      <c r="AV10" s="432" t="n"/>
      <c r="AW10" s="432" t="n"/>
      <c r="AX10" s="432" t="n"/>
      <c r="AY10" s="432" t="n"/>
      <c r="AZ10" s="432" t="n"/>
      <c r="BA10" s="432" t="n"/>
      <c r="BB10" s="432" t="n"/>
      <c r="BC10" s="432" t="n"/>
      <c r="BD10" s="432" t="n"/>
      <c r="BE10" s="432" t="n"/>
      <c r="BF10" s="432" t="n"/>
      <c r="BG10" s="432" t="n"/>
      <c r="BH10" s="432" t="n"/>
      <c r="BI10" s="432" t="n"/>
      <c r="BJ10" s="432" t="n"/>
      <c r="BK10" s="432" t="n"/>
      <c r="BL10" s="432" t="n"/>
      <c r="BM10" s="432" t="n"/>
      <c r="BN10" s="432" t="n"/>
      <c r="BO10" s="432" t="n"/>
      <c r="BP10" s="432" t="n"/>
      <c r="BQ10" s="432" t="n"/>
      <c r="BR10" s="432" t="n"/>
      <c r="BS10" s="432" t="n"/>
      <c r="BT10" s="432" t="n"/>
      <c r="BU10" s="432" t="n"/>
      <c r="BV10" s="432" t="n"/>
      <c r="BW10" s="432" t="n"/>
      <c r="BX10" s="432" t="n"/>
      <c r="BY10" s="432" t="n"/>
      <c r="BZ10" s="432" t="n"/>
      <c r="CA10" s="432" t="n"/>
      <c r="CB10" s="432" t="n"/>
      <c r="CC10" s="432" t="n"/>
      <c r="CD10" s="432" t="n"/>
      <c r="CE10" s="432" t="n"/>
      <c r="CF10" s="432" t="n"/>
      <c r="CG10" s="432" t="n"/>
      <c r="CH10" s="432" t="n"/>
      <c r="CI10" s="432" t="n"/>
      <c r="CJ10" s="432" t="n"/>
      <c r="CK10" s="432" t="n"/>
      <c r="CL10" s="432" t="n"/>
      <c r="CM10" s="432" t="n"/>
      <c r="CN10" s="432" t="n"/>
      <c r="CO10" s="432" t="n"/>
      <c r="CP10" s="432" t="n"/>
      <c r="CQ10" s="432" t="n"/>
      <c r="CR10" s="432" t="n"/>
      <c r="CS10" s="432" t="n"/>
      <c r="CT10" s="432" t="n"/>
      <c r="CU10" s="432" t="n"/>
      <c r="CV10" s="432" t="n"/>
      <c r="CW10" s="432" t="n"/>
      <c r="CX10" s="432" t="n"/>
      <c r="CY10" s="432" t="n"/>
      <c r="CZ10" s="432" t="n"/>
      <c r="DA10" s="432" t="n"/>
      <c r="DB10" s="432" t="n"/>
      <c r="DC10" s="432" t="n"/>
      <c r="DD10" s="432" t="n"/>
      <c r="DE10" s="432" t="n"/>
      <c r="DF10" s="432" t="n"/>
      <c r="DG10" s="432" t="n"/>
      <c r="DH10" s="432" t="n"/>
      <c r="DI10" s="432" t="n"/>
      <c r="DJ10" s="432" t="n"/>
      <c r="DK10" s="432" t="n"/>
      <c r="DL10" s="432" t="n"/>
      <c r="DM10" s="432" t="n"/>
      <c r="DN10" s="432" t="n"/>
      <c r="DO10" s="432" t="n"/>
      <c r="DP10" s="432" t="n"/>
      <c r="DQ10" s="432" t="n"/>
      <c r="DR10" s="432" t="n"/>
      <c r="DS10" s="432" t="n"/>
      <c r="DT10" s="432" t="n"/>
      <c r="DU10" s="432" t="n"/>
      <c r="DV10" s="432" t="n"/>
      <c r="DW10" s="432" t="n"/>
      <c r="DX10" s="432" t="n"/>
      <c r="DY10" s="432" t="n"/>
      <c r="DZ10" s="432" t="n"/>
      <c r="EA10" s="432" t="n"/>
      <c r="EB10" s="432" t="n"/>
      <c r="EC10" s="432" t="n"/>
      <c r="ED10" s="432" t="n"/>
      <c r="EE10" s="432" t="n"/>
      <c r="EF10" s="432" t="n"/>
      <c r="EG10" s="432" t="n"/>
      <c r="EH10" s="432" t="n"/>
      <c r="EI10" s="432" t="n"/>
      <c r="EJ10" s="432" t="n"/>
      <c r="EK10" s="432" t="n"/>
      <c r="EL10" s="432" t="n"/>
      <c r="EM10" s="432" t="n"/>
      <c r="EN10" s="432" t="n"/>
      <c r="EO10" s="432" t="n"/>
      <c r="EP10" s="432" t="n"/>
      <c r="EQ10" s="432" t="n"/>
      <c r="ER10" s="432" t="n"/>
      <c r="ES10" s="432" t="n"/>
      <c r="ET10" s="432" t="n"/>
      <c r="EU10" s="432" t="n"/>
      <c r="EV10" s="432" t="n"/>
      <c r="EW10" s="432" t="n"/>
      <c r="EX10" s="432" t="n"/>
      <c r="EY10" s="432" t="n"/>
      <c r="EZ10" s="432" t="n"/>
      <c r="FA10" s="432" t="n"/>
      <c r="FB10" s="432" t="n"/>
      <c r="FC10" s="432" t="n"/>
      <c r="FD10" s="432" t="n"/>
      <c r="FE10" s="432" t="n"/>
      <c r="FF10" s="432" t="n"/>
      <c r="FG10" s="432" t="n"/>
      <c r="FH10" s="432" t="n"/>
      <c r="FI10" s="432" t="n"/>
      <c r="FJ10" s="432" t="n"/>
      <c r="FK10" s="432" t="n"/>
      <c r="FL10" s="432" t="n"/>
      <c r="FM10" s="432" t="n"/>
      <c r="FN10" s="432" t="n"/>
      <c r="FO10" s="432" t="n"/>
      <c r="FP10" s="432" t="n"/>
      <c r="FQ10" s="432" t="n"/>
      <c r="FR10" s="432" t="n"/>
      <c r="FS10" s="432" t="n"/>
      <c r="FT10" s="432" t="n"/>
      <c r="FU10" s="432" t="n"/>
      <c r="FV10" s="432" t="n"/>
      <c r="FW10" s="432" t="n"/>
      <c r="FX10" s="432" t="n"/>
      <c r="FY10" s="432" t="n"/>
      <c r="FZ10" s="432" t="n"/>
      <c r="GA10" s="432" t="n"/>
      <c r="GB10" s="432" t="n"/>
      <c r="GC10" s="432" t="n"/>
      <c r="GD10" s="432" t="n"/>
      <c r="GE10" s="432" t="n"/>
      <c r="GF10" s="432" t="n"/>
      <c r="GG10" s="432" t="n"/>
      <c r="GH10" s="432" t="n"/>
      <c r="GI10" s="432" t="n"/>
      <c r="GJ10" s="432" t="n"/>
      <c r="GK10" s="432" t="n"/>
      <c r="GL10" s="432" t="n"/>
      <c r="GM10" s="432" t="n"/>
      <c r="GN10" s="432" t="n"/>
      <c r="GO10" s="432" t="n"/>
      <c r="GP10" s="432" t="n"/>
      <c r="GQ10" s="432" t="n"/>
      <c r="GR10" s="432" t="n"/>
      <c r="GS10" s="432" t="n"/>
      <c r="GT10" s="432" t="n"/>
      <c r="GU10" s="432" t="n"/>
      <c r="GV10" s="432" t="n"/>
      <c r="GW10" s="432" t="n"/>
      <c r="GX10" s="432" t="n"/>
      <c r="GY10" s="432" t="n"/>
      <c r="GZ10" s="432" t="n"/>
      <c r="HA10" s="432" t="n"/>
      <c r="HB10" s="432" t="n"/>
      <c r="HC10" s="432" t="n"/>
      <c r="HD10" s="432" t="n"/>
      <c r="HE10" s="432" t="n"/>
      <c r="HF10" s="432" t="n"/>
      <c r="HG10" s="432" t="n"/>
      <c r="HH10" s="432" t="n"/>
      <c r="HI10" s="432" t="n"/>
      <c r="HJ10" s="432" t="n"/>
      <c r="HK10" s="432" t="n"/>
      <c r="HL10" s="432" t="n"/>
      <c r="HM10" s="432" t="n"/>
      <c r="HN10" s="432" t="n"/>
      <c r="HO10" s="432" t="n"/>
      <c r="HP10" s="432" t="n"/>
      <c r="HQ10" s="432" t="n"/>
      <c r="HR10" s="432" t="n"/>
      <c r="HS10" s="432" t="n"/>
      <c r="HT10" s="432" t="n"/>
      <c r="HU10" s="432" t="n"/>
      <c r="HV10" s="432" t="n"/>
      <c r="HW10" s="432" t="n"/>
      <c r="HX10" s="432" t="n"/>
      <c r="HY10" s="432" t="n"/>
      <c r="HZ10" s="432" t="n"/>
      <c r="IA10" s="432" t="n"/>
      <c r="IB10" s="432" t="n"/>
      <c r="IC10" s="432" t="n"/>
      <c r="ID10" s="432" t="n"/>
      <c r="IE10" s="432" t="n"/>
      <c r="IF10" s="432" t="n"/>
      <c r="IG10" s="432" t="n"/>
      <c r="IH10" s="432" t="n"/>
      <c r="II10" s="432" t="n"/>
      <c r="IJ10" s="432" t="n"/>
      <c r="IK10" s="432" t="n"/>
      <c r="IL10" s="432" t="n"/>
      <c r="IM10" s="432" t="n"/>
      <c r="IN10" s="432" t="n"/>
      <c r="IO10" s="432" t="n"/>
      <c r="IP10" s="432" t="n"/>
      <c r="IQ10" s="432" t="n"/>
      <c r="IR10" s="432" t="n"/>
      <c r="IS10" s="432" t="n"/>
      <c r="IT10" s="432" t="n"/>
      <c r="IU10" s="432" t="n"/>
      <c r="IV10" s="432" t="n"/>
    </row>
    <row r="11" customFormat="1" s="559">
      <c r="A11" s="94" t="n"/>
      <c r="B11" s="94" t="n"/>
      <c r="C11" s="94" t="n"/>
      <c r="D11" s="94" t="n"/>
      <c r="E11" s="94" t="n"/>
      <c r="F11" s="94" t="n"/>
      <c r="G11" s="94" t="n"/>
      <c r="H11" s="94" t="n"/>
      <c r="I11" s="430" t="n"/>
    </row>
    <row r="12" customFormat="1" s="559">
      <c r="A12" s="94" t="n"/>
      <c r="B12" s="94" t="n"/>
      <c r="C12" s="94" t="n"/>
      <c r="D12" s="94" t="n"/>
      <c r="E12" s="94" t="n"/>
      <c r="F12" s="94" t="n"/>
      <c r="G12" s="94" t="n"/>
      <c r="H12" s="94" t="n"/>
      <c r="I12" s="430" t="n"/>
    </row>
    <row r="13" ht="31.5" customFormat="1" customHeight="1" s="559">
      <c r="A13" s="560" t="inlineStr">
        <is>
          <t>Section F : Details of Employment Income(Wife)</t>
        </is>
      </c>
      <c r="B13" s="491" t="n"/>
      <c r="C13" s="491" t="n"/>
      <c r="D13" s="491" t="n"/>
      <c r="E13" s="491" t="n"/>
      <c r="F13" s="491" t="n"/>
      <c r="G13" s="241" t="n"/>
      <c r="H13" s="242" t="n"/>
      <c r="I13" s="430" t="n"/>
      <c r="J13" s="434" t="n"/>
      <c r="K13" s="434" t="n"/>
      <c r="L13" s="434" t="n"/>
      <c r="M13" s="434" t="n"/>
    </row>
    <row r="14" ht="68" customFormat="1" customHeight="1" s="559">
      <c r="A14" s="34" t="inlineStr">
        <is>
          <t>PIN of Employer</t>
        </is>
      </c>
      <c r="B14" s="34" t="inlineStr">
        <is>
          <t>Name of Employer</t>
        </is>
      </c>
      <c r="C14" s="34" t="inlineStr">
        <is>
          <t>Gross Pay (Ksh)
(A)</t>
        </is>
      </c>
      <c r="D14" s="34" t="inlineStr">
        <is>
          <t>Allowances and Benefits from Employment (Other than Car and Housing) (Ksh) (B)</t>
        </is>
      </c>
      <c r="E14" s="34" t="inlineStr">
        <is>
          <t>Value of Car Benefit (Total of "Value of Car Benefit" from I_Computation_
of_Car_Benefit)(Ksh) (C)</t>
        </is>
      </c>
      <c r="F14" s="34" t="inlineStr">
        <is>
          <t>Net Value of 
Housing (Ksh)
(D)</t>
        </is>
      </c>
      <c r="G14" s="34" t="inlineStr">
        <is>
          <t>Pension if in excess of 300,000 (Ksh)
(E)</t>
        </is>
      </c>
      <c r="H14" s="34" t="inlineStr">
        <is>
          <t>Total Employment Income
(Ksh) (F) = (A+B+C+D+E)</t>
        </is>
      </c>
      <c r="I14" s="430" t="n"/>
      <c r="J14" s="434" t="n"/>
      <c r="K14" s="434" t="n"/>
      <c r="L14" s="434" t="n"/>
      <c r="M14" s="434" t="n"/>
    </row>
    <row r="15" customFormat="1" s="559">
      <c r="A15" s="587" t="n"/>
      <c r="B15" s="460" t="n"/>
      <c r="C15" s="22" t="n"/>
      <c r="D15" s="22" t="n"/>
      <c r="E15" s="22">
        <f>IF(A15="","",IF(ISERROR(SUMIF(PINofEmployerCarW,CONCATENATE("=",A15),valueOfCarW)),0,SUMIF(PINofEmployerCarW,CONCATENATE("=",A15),valueOfCarW)))</f>
        <v/>
      </c>
      <c r="F15" s="22" t="n">
        <v>0</v>
      </c>
      <c r="G15" s="22" t="n">
        <v>0</v>
      </c>
      <c r="H15" s="22">
        <f>IF(COUNTBLANK(C15:G15)=5,"",SUM(C15:G15))</f>
        <v/>
      </c>
      <c r="I15" s="430">
        <f>IF(F15="","",CONCATENATE("W"))</f>
        <v/>
      </c>
      <c r="J15" s="434" t="n"/>
      <c r="K15" s="434" t="n"/>
      <c r="L15" s="434" t="n"/>
      <c r="M15" s="434" t="n"/>
    </row>
    <row r="16" customFormat="1" s="559">
      <c r="A16" s="587" t="n"/>
      <c r="B16" s="460" t="n"/>
      <c r="C16" s="22" t="n"/>
      <c r="D16" s="22" t="n"/>
      <c r="E16" s="22">
        <f>IF(A16="","",IF(ISERROR(SUMIF(PINofEmployerCarW,CONCATENATE("=",A16),valueOfCarW)),0,SUMIF(PINofEmployerCarW,CONCATENATE("=",A16),valueOfCarW)))</f>
        <v/>
      </c>
      <c r="F16" s="22" t="n"/>
      <c r="G16" s="22" t="n"/>
      <c r="H16" s="22">
        <f>IF(COUNTBLANK(C16:G16)=5,"",SUM(C16:G16))</f>
        <v/>
      </c>
      <c r="I16" s="430">
        <f>IF(F16="","",CONCATENATE("W"))</f>
        <v/>
      </c>
      <c r="J16" s="434" t="n"/>
      <c r="K16" s="434" t="n"/>
      <c r="L16" s="434" t="n"/>
      <c r="M16" s="434" t="n"/>
    </row>
    <row r="17" ht="16.5" customFormat="1" customHeight="1" s="559">
      <c r="A17" s="561" t="inlineStr">
        <is>
          <t>Total</t>
        </is>
      </c>
      <c r="B17" s="474" t="n"/>
      <c r="C17" s="474" t="n"/>
      <c r="D17" s="474" t="n"/>
      <c r="E17" s="474" t="n"/>
      <c r="F17" s="474" t="n"/>
      <c r="G17" s="475" t="n"/>
      <c r="H17" s="133">
        <f>SUM(H15:OFFSET(EmpIncome.ListWTO,-1,0))</f>
        <v/>
      </c>
      <c r="I17" s="430" t="n"/>
      <c r="J17" s="434" t="n"/>
      <c r="K17" s="434" t="n"/>
      <c r="L17" s="434" t="n"/>
      <c r="M17" s="434" t="n"/>
    </row>
    <row r="18" hidden="1" ht="16.5" customFormat="1" customHeight="1" s="559">
      <c r="A18" s="563" t="inlineStr">
        <is>
          <t>January - March:   Income</t>
        </is>
      </c>
      <c r="B18" s="497" t="n"/>
      <c r="C18" s="497" t="n"/>
      <c r="D18" s="497" t="n"/>
      <c r="E18" s="497" t="n"/>
      <c r="F18" s="497" t="n"/>
      <c r="G18" s="497" t="n"/>
      <c r="H18" s="413" t="n">
        <v>0</v>
      </c>
      <c r="I18" s="441">
        <f>EmpIncome.ListWTOJANMAR+EmpIncome.ListWTOAPRDEC</f>
        <v/>
      </c>
      <c r="J18" s="434" t="n"/>
      <c r="K18" s="434" t="n"/>
      <c r="L18" s="434" t="n"/>
      <c r="M18" s="434" t="n"/>
    </row>
    <row r="19" hidden="1" ht="16.5" customFormat="1" customHeight="1" s="559">
      <c r="A19" s="558" t="inlineStr">
        <is>
          <t>January - March:  Pension</t>
        </is>
      </c>
      <c r="H19" s="413" t="n">
        <v>0</v>
      </c>
      <c r="I19" s="430" t="n"/>
      <c r="J19" s="434" t="n"/>
      <c r="K19" s="434" t="n"/>
      <c r="L19" s="434" t="n"/>
      <c r="M19" s="434" t="n"/>
    </row>
    <row r="20" hidden="1" ht="16.5" customFormat="1" customHeight="1" s="559">
      <c r="A20" s="558" t="inlineStr">
        <is>
          <t>April - December:   Income</t>
        </is>
      </c>
      <c r="H20" s="413" t="n">
        <v>0</v>
      </c>
      <c r="I20" s="430" t="n"/>
      <c r="J20" s="434" t="n"/>
      <c r="K20" s="434" t="n"/>
      <c r="L20" s="434" t="n"/>
      <c r="M20" s="434" t="n"/>
    </row>
    <row r="21" hidden="1" ht="16.5" customFormat="1" customHeight="1" s="559">
      <c r="A21" s="558" t="inlineStr">
        <is>
          <t>April - December: Pension</t>
        </is>
      </c>
      <c r="H21" s="413" t="n">
        <v>0</v>
      </c>
      <c r="I21" s="430">
        <f>EmpIncome.ListWPENJANMAR+EmpIncome.ListWPENAPRDEC</f>
        <v/>
      </c>
      <c r="J21" s="434" t="n"/>
      <c r="K21" s="434" t="n"/>
      <c r="L21" s="434" t="n"/>
      <c r="M21" s="434" t="n"/>
    </row>
    <row r="22" ht="37.5" customFormat="1" customHeight="1" s="94">
      <c r="I22" s="93" t="n"/>
    </row>
    <row r="23" ht="37.5" customFormat="1" customHeight="1" s="94">
      <c r="I23" s="93" t="n"/>
    </row>
    <row r="24" hidden="1" s="486">
      <c r="A24" s="92" t="n"/>
      <c r="B24" s="92" t="n"/>
      <c r="C24" s="92" t="n"/>
      <c r="D24" s="92" t="n"/>
      <c r="E24" s="92" t="n"/>
      <c r="F24" s="92" t="n"/>
      <c r="G24" s="92" t="n"/>
      <c r="H24" s="92" t="n"/>
      <c r="I24" s="91" t="n"/>
    </row>
    <row r="25" hidden="1" s="486">
      <c r="A25" s="92" t="n"/>
      <c r="B25" s="92" t="n"/>
      <c r="C25" s="92" t="n"/>
      <c r="D25" s="92" t="n"/>
      <c r="E25" s="92" t="n"/>
      <c r="F25" s="92" t="n"/>
      <c r="G25" s="92" t="n"/>
      <c r="H25" s="92" t="n"/>
      <c r="I25" s="91" t="n"/>
    </row>
    <row r="26" hidden="1" s="486">
      <c r="A26" s="92" t="n"/>
      <c r="B26" s="92" t="n"/>
      <c r="C26" s="92" t="n"/>
      <c r="D26" s="92" t="n"/>
      <c r="E26" s="92" t="n"/>
      <c r="F26" s="92" t="n"/>
      <c r="G26" s="92" t="n"/>
    </row>
    <row r="27" hidden="1" s="486">
      <c r="A27" s="92" t="n"/>
      <c r="B27" s="92" t="n"/>
      <c r="C27" s="92" t="n"/>
      <c r="D27" s="92" t="n"/>
      <c r="E27" s="92" t="n"/>
      <c r="F27" s="92" t="n"/>
      <c r="G27" s="92" t="n"/>
    </row>
    <row r="28" hidden="1" s="486">
      <c r="A28" s="92" t="n"/>
      <c r="B28" s="92" t="n"/>
      <c r="C28" s="92" t="n"/>
      <c r="D28" s="92" t="n"/>
      <c r="E28" s="92" t="n"/>
      <c r="F28" s="92" t="n"/>
      <c r="G28" s="92" t="n"/>
    </row>
    <row r="29" hidden="1" s="486">
      <c r="A29" s="92" t="n"/>
      <c r="B29" s="92" t="n"/>
      <c r="C29" s="92" t="n"/>
      <c r="D29" s="92" t="n"/>
      <c r="E29" s="92" t="n"/>
      <c r="F29" s="92" t="n"/>
      <c r="G29" s="92" t="n"/>
    </row>
    <row r="30" hidden="1" s="486">
      <c r="A30" s="92" t="n"/>
      <c r="B30" s="92" t="n"/>
      <c r="C30" s="92" t="n"/>
      <c r="D30" s="92" t="n"/>
      <c r="E30" s="92" t="n"/>
      <c r="F30" s="92" t="n"/>
      <c r="G30" s="92" t="n"/>
    </row>
  </sheetData>
  <sheetProtection selectLockedCells="0" selectUnlockedCells="0" algorithmName="SHA-512" sheet="1" objects="1" insertRows="1" insertHyperlinks="1" autoFilter="1" scenarios="1" formatColumns="1" deleteColumns="1" insertColumns="1" pivotTables="1" deleteRows="1" formatCells="1" saltValue="RFgbCjJWZpLBjk5ObUzR1g==" formatRows="1" sort="1" spinCount="100000" hashValue="Bfi9zALWiPmtcSwMfw7uTp/PketpG8o2dfO0XTyFnq4qGq9aIcaDE0zF3nL/idb8RyzBV4tWfSEZqUmSg27lEw=="/>
  <mergeCells count="12">
    <mergeCell ref="A17:G17"/>
    <mergeCell ref="A18:G18"/>
    <mergeCell ref="A13:F13"/>
    <mergeCell ref="A8:G8"/>
    <mergeCell ref="A9:G9"/>
    <mergeCell ref="A6:G6"/>
    <mergeCell ref="A21:G21"/>
    <mergeCell ref="A1:F1"/>
    <mergeCell ref="A20:G20"/>
    <mergeCell ref="A7:G7"/>
    <mergeCell ref="A19:G19"/>
    <mergeCell ref="A5:G5"/>
  </mergeCells>
  <dataValidations xWindow="903" yWindow="830" count="4">
    <dataValidation sqref="A3:A4 A15:A16" showDropDown="0" showInputMessage="1" showErrorMessage="1" allowBlank="0" errorTitle="Data Error:" error="Please enter PIN in proper format.  " promptTitle="Alphanumeric:" prompt="Enter 11 digit alphanumeric values for PIN. " type="textLength">
      <formula1>11</formula1>
      <formula2>11</formula2>
    </dataValidation>
    <dataValidation sqref="B3:B4 B15:B16"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operator="lessThanOrEqual">
      <formula1>50</formula1>
    </dataValidation>
    <dataValidation sqref="C3:D4 C15:D16 F3:G4 F15:G16"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E3:E4 E15:E16" showDropDown="0" showInputMessage="0" showErrorMessage="0" allowBlank="0" errorTitle="Data Error:" error="Please enter positive numeric value of length less than or equal to 15 digit." promptTitle="Numeric:" prompt="Enter numeric value of length less than or equal to 15 digit."/>
  </dataValidations>
  <pageMargins left="0.7" right="0.7" top="0.75" bottom="0.75" header="0.5118055555555555" footer="0.5118055555555555"/>
  <pageSetup orientation="portrait" paperSize="9" firstPageNumber="0" horizontalDpi="300" verticalDpi="300"/>
  <drawing r:id="rId1"/>
</worksheet>
</file>

<file path=xl/worksheets/sheet18.xml><?xml version="1.0" encoding="utf-8"?>
<worksheet xmlns:r="http://schemas.openxmlformats.org/officeDocument/2006/relationships" xmlns="http://schemas.openxmlformats.org/spreadsheetml/2006/main">
  <sheetPr codeName="Sheet33">
    <outlinePr summaryBelow="1" summaryRight="1"/>
    <pageSetUpPr/>
  </sheetPr>
  <dimension ref="A1:L17"/>
  <sheetViews>
    <sheetView workbookViewId="0">
      <selection activeCell="C3" sqref="C3"/>
    </sheetView>
  </sheetViews>
  <sheetFormatPr baseColWidth="10" defaultColWidth="0" defaultRowHeight="16" zeroHeight="1"/>
  <cols>
    <col width="27.6640625" customWidth="1" style="525" min="1" max="9"/>
    <col width="7.1640625" customWidth="1" style="115" min="10" max="10"/>
    <col width="8.6640625" customWidth="1" style="525" min="11" max="11"/>
    <col width="8.6640625" customWidth="1" style="115" min="12" max="12"/>
    <col hidden="1" width="8.6640625" customWidth="1" style="525" min="13" max="13"/>
    <col hidden="1" width="8.6640625" customWidth="1" style="525" min="14" max="16384"/>
  </cols>
  <sheetData>
    <row r="1" ht="31.5" customHeight="1" s="486">
      <c r="A1" s="560" t="inlineStr">
        <is>
          <t>Section G : Details of Share of Profit / Surplus / (Loss) in which Taxpayer is a Partner (Self)</t>
        </is>
      </c>
      <c r="B1" s="491" t="n"/>
      <c r="C1" s="491" t="n"/>
      <c r="D1" s="491" t="n"/>
      <c r="E1" s="491" t="n"/>
      <c r="F1" s="491" t="n"/>
      <c r="G1" s="241" t="n"/>
      <c r="H1" s="241" t="n"/>
      <c r="I1" s="242" t="n"/>
      <c r="K1" s="115" t="n"/>
    </row>
    <row r="2" ht="51" customFormat="1" customHeight="1" s="116">
      <c r="A2" s="34" t="inlineStr">
        <is>
          <t>PIN of Partnership Firm</t>
        </is>
      </c>
      <c r="B2" s="34" t="inlineStr">
        <is>
          <t>Name of Partnership Firm</t>
        </is>
      </c>
      <c r="C2" s="34" t="inlineStr">
        <is>
          <t>Type of Income</t>
        </is>
      </c>
      <c r="D2" s="34" t="inlineStr">
        <is>
          <t>% Share of Profit / Surplus</t>
        </is>
      </c>
      <c r="E2" s="34" t="inlineStr">
        <is>
          <t>Amount of Share of Profit / Surplus (Ksh)
(A)</t>
        </is>
      </c>
      <c r="F2" s="34" t="inlineStr">
        <is>
          <t>Remuneration and Value of Benefit Received (Ksh)
(B)</t>
        </is>
      </c>
      <c r="G2" s="34" t="inlineStr">
        <is>
          <t>Amount of Interest on Capital (Ksh)
(C)</t>
        </is>
      </c>
      <c r="H2" s="34" t="inlineStr">
        <is>
          <t>Amount of Interest on Drawing (Ksh)
(D)</t>
        </is>
      </c>
      <c r="I2" s="34" t="inlineStr">
        <is>
          <t>Total Income from Partnership(s) (Ksh)
(E) = (A+B+C+D)</t>
        </is>
      </c>
      <c r="J2" s="115" t="inlineStr">
        <is>
          <t>spouse code</t>
        </is>
      </c>
      <c r="K2" s="115" t="n"/>
      <c r="L2" s="115" t="n"/>
    </row>
    <row r="3" ht="17" customHeight="1" s="486">
      <c r="A3" s="43" t="n"/>
      <c r="B3" s="53" t="n"/>
      <c r="C3" s="53" t="n"/>
      <c r="D3" s="55" t="n"/>
      <c r="E3" s="55" t="n"/>
      <c r="F3" s="55" t="n"/>
      <c r="G3" s="55" t="n"/>
      <c r="H3" s="55" t="n"/>
      <c r="I3" s="64">
        <f>IF(COUNTBLANK(E3:H3)=4,"",SUM(E3:H3))</f>
        <v/>
      </c>
      <c r="J3" s="115">
        <f>IF(A3="","",CONCATENATE("H"))</f>
        <v/>
      </c>
      <c r="K3" s="115" t="n"/>
      <c r="L3" s="115">
        <f>CONCATENATE(A3,C3)</f>
        <v/>
      </c>
    </row>
    <row r="4" ht="17" customHeight="1" s="486">
      <c r="A4" s="43" t="n"/>
      <c r="B4" s="53" t="n"/>
      <c r="C4" s="53" t="n"/>
      <c r="D4" s="55" t="n"/>
      <c r="E4" s="55" t="n"/>
      <c r="F4" s="55" t="n"/>
      <c r="G4" s="55" t="n"/>
      <c r="H4" s="55" t="n"/>
      <c r="I4" s="64">
        <f>IF(COUNTBLANK(E4:H4)=4,"",SUM(E4:H4))</f>
        <v/>
      </c>
      <c r="J4" s="115">
        <f>IF(A4="","",CONCATENATE("H"))</f>
        <v/>
      </c>
      <c r="K4" s="115" t="n"/>
      <c r="L4" s="115">
        <f>CONCATENATE(A4,C4)</f>
        <v/>
      </c>
    </row>
    <row r="5" ht="16.5" customFormat="1" customHeight="1" s="88">
      <c r="A5" s="533" t="inlineStr">
        <is>
          <t>Total</t>
        </is>
      </c>
      <c r="B5" s="491" t="n"/>
      <c r="C5" s="491" t="n"/>
      <c r="D5" s="491" t="n"/>
      <c r="E5" s="491" t="n"/>
      <c r="F5" s="491" t="n"/>
      <c r="G5" s="491" t="n"/>
      <c r="H5" s="481" t="n"/>
      <c r="I5" s="129">
        <f>SUM(I3:OFFSET(ProfitShare.ListSTO,-1,0))</f>
        <v/>
      </c>
      <c r="J5" s="115" t="n"/>
      <c r="K5" s="115" t="n"/>
      <c r="L5" s="115" t="n"/>
    </row>
    <row r="6" ht="16.5" customFormat="1" customHeight="1" s="88">
      <c r="A6" s="117" t="n"/>
      <c r="B6" s="117" t="n"/>
      <c r="C6" s="117" t="n"/>
      <c r="D6" s="117" t="n"/>
      <c r="E6" s="117" t="n"/>
      <c r="F6" s="117" t="n"/>
      <c r="G6" s="117" t="n"/>
      <c r="H6" s="117" t="n"/>
      <c r="I6" s="117" t="n"/>
      <c r="J6" s="115" t="n"/>
      <c r="K6" s="115" t="n"/>
      <c r="L6" s="115" t="n"/>
    </row>
    <row r="7" ht="16.5" customFormat="1" customHeight="1" s="88">
      <c r="A7" s="117" t="n"/>
      <c r="B7" s="117" t="n"/>
      <c r="C7" s="117" t="n"/>
      <c r="D7" s="117" t="n"/>
      <c r="E7" s="117" t="n"/>
      <c r="F7" s="117" t="n"/>
      <c r="G7" s="117" t="n"/>
      <c r="H7" s="117" t="n"/>
      <c r="I7" s="117" t="n"/>
      <c r="J7" s="115" t="n"/>
      <c r="K7" s="115" t="n"/>
      <c r="L7" s="115" t="n"/>
    </row>
    <row r="8" ht="16.5" customFormat="1" customHeight="1" s="88">
      <c r="A8" s="117" t="n"/>
      <c r="B8" s="117" t="n"/>
      <c r="C8" s="117" t="n"/>
      <c r="D8" s="117" t="n"/>
      <c r="E8" s="117" t="n"/>
      <c r="F8" s="117" t="n"/>
      <c r="G8" s="117" t="n"/>
      <c r="H8" s="117" t="n"/>
      <c r="I8" s="117" t="n"/>
      <c r="J8" s="115" t="n"/>
      <c r="K8" s="115" t="n"/>
      <c r="L8" s="115" t="n"/>
    </row>
    <row r="9" ht="31.5" customHeight="1" s="486">
      <c r="A9" s="560" t="inlineStr">
        <is>
          <t>Section G : Details of Share of Profit / Surplus / (Loss) in which Taxpayer is a Partner (Wife)</t>
        </is>
      </c>
      <c r="B9" s="491" t="n"/>
      <c r="C9" s="491" t="n"/>
      <c r="D9" s="491" t="n"/>
      <c r="E9" s="491" t="n"/>
      <c r="F9" s="491" t="n"/>
      <c r="G9" s="241" t="n"/>
      <c r="H9" s="241" t="n"/>
      <c r="I9" s="242" t="n"/>
      <c r="K9" s="115" t="n"/>
    </row>
    <row r="10" ht="51" customFormat="1" customHeight="1" s="116">
      <c r="A10" s="34" t="inlineStr">
        <is>
          <t>PIN of Partnership Firm</t>
        </is>
      </c>
      <c r="B10" s="34" t="inlineStr">
        <is>
          <t>Name of Partnership Firm</t>
        </is>
      </c>
      <c r="C10" s="34" t="inlineStr">
        <is>
          <t>Type of Income</t>
        </is>
      </c>
      <c r="D10" s="34" t="inlineStr">
        <is>
          <t>% Share of Profit / Surplus</t>
        </is>
      </c>
      <c r="E10" s="34" t="inlineStr">
        <is>
          <t>Amount of Share of Profit / Surplus (Ksh)
(A)</t>
        </is>
      </c>
      <c r="F10" s="34" t="inlineStr">
        <is>
          <t>Remuneration and Value of Benefit Received (Ksh)
(B)</t>
        </is>
      </c>
      <c r="G10" s="34" t="inlineStr">
        <is>
          <t>Amount of Interest on Capital (Ksh)
(C)</t>
        </is>
      </c>
      <c r="H10" s="34" t="inlineStr">
        <is>
          <t>Amount of Interest on Drawing (Ksh)
(D)</t>
        </is>
      </c>
      <c r="I10" s="34" t="inlineStr">
        <is>
          <t>Total Income from Partnership(s) (Ksh)
(E) = (A+B+C+D)</t>
        </is>
      </c>
      <c r="J10" s="115" t="inlineStr">
        <is>
          <t>spouse code</t>
        </is>
      </c>
      <c r="K10" s="115" t="n"/>
      <c r="L10" s="115" t="n"/>
    </row>
    <row r="11">
      <c r="A11" s="286" t="n"/>
      <c r="B11" s="409" t="n"/>
      <c r="C11" s="409" t="n"/>
      <c r="D11" s="64" t="n"/>
      <c r="E11" s="64" t="n"/>
      <c r="F11" s="64" t="n"/>
      <c r="G11" s="64" t="n"/>
      <c r="H11" s="64" t="n"/>
      <c r="I11" s="64">
        <f>IF(COUNTBLANK(E11:H11)=4,"",SUM(E11:H11))</f>
        <v/>
      </c>
      <c r="J11" s="115">
        <f>IF(A11="","",CONCATENATE("W"))</f>
        <v/>
      </c>
      <c r="K11" s="321" t="n"/>
      <c r="L11" s="115">
        <f>CONCATENATE(A11,C11)</f>
        <v/>
      </c>
    </row>
    <row r="12">
      <c r="A12" s="286" t="n"/>
      <c r="B12" s="409" t="n"/>
      <c r="C12" s="409" t="n"/>
      <c r="D12" s="64" t="n"/>
      <c r="E12" s="64" t="n"/>
      <c r="F12" s="64" t="n"/>
      <c r="G12" s="64" t="n"/>
      <c r="H12" s="64" t="n"/>
      <c r="I12" s="64">
        <f>IF(COUNTBLANK(E12:H12)=4,"",SUM(E12:H12))</f>
        <v/>
      </c>
      <c r="J12" s="115">
        <f>IF(A12="","",CONCATENATE("W"))</f>
        <v/>
      </c>
      <c r="K12" s="321" t="n"/>
      <c r="L12" s="115">
        <f>CONCATENATE(A12,C12)</f>
        <v/>
      </c>
    </row>
    <row r="13" ht="16.5" customHeight="1" s="486">
      <c r="A13" s="533" t="inlineStr">
        <is>
          <t>Total</t>
        </is>
      </c>
      <c r="B13" s="491" t="n"/>
      <c r="C13" s="491" t="n"/>
      <c r="D13" s="491" t="n"/>
      <c r="E13" s="491" t="n"/>
      <c r="F13" s="491" t="n"/>
      <c r="G13" s="491" t="n"/>
      <c r="H13" s="481" t="n"/>
      <c r="I13" s="129">
        <f>SUM(I11:OFFSET(ProfitShare.ListWTO,-1,0))</f>
        <v/>
      </c>
      <c r="K13" s="115" t="n"/>
    </row>
    <row r="14" ht="37.5" customHeight="1" s="486">
      <c r="A14" s="117" t="n"/>
      <c r="B14" s="117" t="n"/>
      <c r="C14" s="117" t="n"/>
      <c r="D14" s="117" t="n"/>
      <c r="E14" s="117" t="n"/>
      <c r="F14" s="117" t="n"/>
      <c r="G14" s="117" t="n"/>
      <c r="H14" s="117" t="n"/>
      <c r="I14" s="117" t="n"/>
      <c r="K14" s="115" t="n"/>
    </row>
    <row r="15" ht="37.5" customHeight="1" s="486">
      <c r="A15" s="117" t="n"/>
      <c r="B15" s="117" t="n"/>
      <c r="C15" s="117" t="n"/>
      <c r="D15" s="117" t="n"/>
      <c r="E15" s="117" t="n"/>
      <c r="F15" s="117" t="n"/>
      <c r="G15" s="117" t="n"/>
      <c r="H15" s="117" t="n"/>
      <c r="I15" s="117" t="n"/>
      <c r="K15" s="115" t="n"/>
    </row>
    <row r="16" hidden="1" ht="16.5" customHeight="1" s="486">
      <c r="A16" s="117" t="n"/>
      <c r="B16" s="117" t="n"/>
      <c r="C16" s="117" t="n"/>
      <c r="D16" s="117" t="n"/>
      <c r="E16" s="117" t="n"/>
      <c r="F16" s="117" t="n"/>
      <c r="G16" s="117" t="n"/>
      <c r="H16" s="117" t="n"/>
      <c r="I16" s="117" t="n"/>
    </row>
    <row r="17" hidden="1" ht="16.5" customHeight="1" s="486">
      <c r="A17" s="117" t="n"/>
      <c r="B17" s="117" t="n"/>
      <c r="C17" s="117" t="n"/>
      <c r="D17" s="117" t="n"/>
      <c r="E17" s="117" t="n"/>
      <c r="F17" s="117" t="n"/>
      <c r="G17" s="117" t="n"/>
      <c r="H17" s="117" t="n"/>
      <c r="I17" s="117" t="n"/>
    </row>
    <row r="23" hidden="1" ht="19.5" customHeight="1" s="486"/>
  </sheetData>
  <sheetProtection selectLockedCells="0" selectUnlockedCells="0" algorithmName="SHA-512" sheet="1" objects="1" insertRows="1" insertHyperlinks="1" autoFilter="1" scenarios="1" formatColumns="1" deleteColumns="1" insertColumns="1" pivotTables="1" deleteRows="1" formatCells="1" saltValue="l/riqhSVqw/Pg3tmESom6Q==" formatRows="1" sort="1" spinCount="100000" hashValue="3ZuS5FV7PYu6NEageTccLc8bgns7l18ilCrFO3MQGguQkFuGtR+ESRdRAi6va3swPjrK7XRMVYyidAzB6nuBeA=="/>
  <mergeCells count="4">
    <mergeCell ref="A13:H13"/>
    <mergeCell ref="A1:F1"/>
    <mergeCell ref="A9:F9"/>
    <mergeCell ref="A5:H5"/>
  </mergeCells>
  <dataValidations count="6">
    <dataValidation sqref="A3:A4 A11:A12" showDropDown="0" showInputMessage="1" showErrorMessage="1" allowBlank="0" errorTitle="Data Error:" error="Please enter PIN in proper format.  " promptTitle="Alphanumeric:" prompt="Enter 11 digit alphanumeric values for PIN. " type="textLength">
      <formula1>11</formula1>
      <formula2>11</formula2>
    </dataValidation>
    <dataValidation sqref="C3:C4 C11:C12" showDropDown="0" showInputMessage="1" showErrorMessage="1" allowBlank="0" errorTitle="Data Error:" error="Please select data from DropDown Only. " promptTitle="List:" prompt="Select data from DropDown List. " type="list">
      <formula1>TypeOfIncome</formula1>
    </dataValidation>
    <dataValidation sqref="D3:D4 D11:D12" showDropDown="0" showInputMessage="1" showErrorMessage="1" allowBlank="0" errorTitle="Data Error:" error="Please enter Percentage value in range of  0 to 100." promptTitle="Percentage:" prompt="Enter Percentage value in range of  0 to 100." type="decimal">
      <formula1>0</formula1>
      <formula2>100</formula2>
    </dataValidation>
    <dataValidation sqref="F3:H4 F11:H12"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B3:B4 B11:B12"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formula1>1</formula1>
      <formula2>50</formula2>
    </dataValidation>
    <dataValidation sqref="E3:E4 E11:E12" showDropDown="0" showInputMessage="1" showErrorMessage="1" allowBlank="0" errorTitle="Data Error:" error="Please enter positive numeric value of length less than or equal to 15 digit." promptTitle="Numeric:" prompt="Enter numeric value of length less than or equal to 15 digit." type="decimal">
      <formula1>-1E+105</formula1>
      <formula2>999999999999999</formula2>
    </dataValidation>
  </dataValidations>
  <pageMargins left="0.7" right="0.7" top="0.75" bottom="0.75" header="0.5118055555555555" footer="0.5118055555555555"/>
  <pageSetup orientation="portrait" paperSize="9" firstPageNumber="0" horizontalDpi="300" verticalDpi="300"/>
  <drawing r:id="rId1"/>
</worksheet>
</file>

<file path=xl/worksheets/sheet19.xml><?xml version="1.0" encoding="utf-8"?>
<worksheet xmlns:r="http://schemas.openxmlformats.org/officeDocument/2006/relationships" xmlns="http://schemas.openxmlformats.org/spreadsheetml/2006/main">
  <sheetPr codeName="Sheet8">
    <outlinePr summaryBelow="1" summaryRight="1"/>
    <pageSetUpPr/>
  </sheetPr>
  <dimension ref="A1:J13"/>
  <sheetViews>
    <sheetView zoomScaleNormal="100" workbookViewId="0">
      <selection activeCell="A3" sqref="A3"/>
    </sheetView>
  </sheetViews>
  <sheetFormatPr baseColWidth="10" defaultColWidth="0" defaultRowHeight="15" zeroHeight="1"/>
  <cols>
    <col width="27.6640625" customWidth="1" style="486" min="1" max="6"/>
    <col width="10.5" customWidth="1" style="486" min="7" max="7"/>
    <col hidden="1" width="10.5" customWidth="1" style="486" min="8" max="8"/>
    <col hidden="1" width="10.5" customWidth="1" style="486" min="9" max="16384"/>
  </cols>
  <sheetData>
    <row r="1" ht="31.5" customFormat="1" customHeight="1" s="525">
      <c r="A1" s="505" t="inlineStr">
        <is>
          <t>Section H : Details of Share of Income in which Taxpayer is a Beneficiary of Estate(s)/Trust(s)/Settlement (Self)</t>
        </is>
      </c>
      <c r="B1" s="491" t="n"/>
      <c r="C1" s="491" t="n"/>
      <c r="D1" s="491" t="n"/>
      <c r="E1" s="491" t="n"/>
      <c r="F1" s="481" t="n"/>
      <c r="G1" s="115" t="n"/>
      <c r="H1" s="115" t="n"/>
      <c r="I1" s="115" t="n"/>
      <c r="J1" s="115" t="n"/>
    </row>
    <row r="2" ht="51" customFormat="1" customHeight="1" s="116">
      <c r="A2" s="34" t="inlineStr">
        <is>
          <t>PIN of Estate/Trust/Settlement</t>
        </is>
      </c>
      <c r="B2" s="34" t="inlineStr">
        <is>
          <t>Name of Estate/Trust/Settlement</t>
        </is>
      </c>
      <c r="C2" s="34" t="inlineStr">
        <is>
          <t>% Share of Income
(A)</t>
        </is>
      </c>
      <c r="D2" s="34" t="inlineStr">
        <is>
          <t>Amount of Actual Distributable Income (Ksh)
(B)</t>
        </is>
      </c>
      <c r="E2" s="34" t="inlineStr">
        <is>
          <t>Taxable Amount on Deemed Basis (Ksh) 
(C) = ((B*100)/70)</t>
        </is>
      </c>
      <c r="F2" s="34" t="inlineStr">
        <is>
          <t>Amount of Share of Income  (Ksh)
(D) = (C*A)</t>
        </is>
      </c>
      <c r="G2" s="115" t="inlineStr">
        <is>
          <t>spouse code</t>
        </is>
      </c>
      <c r="I2" s="115" t="n"/>
    </row>
    <row r="3" ht="17" customFormat="1" customHeight="1" s="525">
      <c r="A3" s="43" t="n"/>
      <c r="B3" s="53" t="n"/>
      <c r="C3" s="264" t="n"/>
      <c r="D3" s="55" t="n"/>
      <c r="E3" s="129">
        <f>IF(D3="","",D3*100/70)</f>
        <v/>
      </c>
      <c r="F3" s="129">
        <f>IF(D3="","",E3*C3/100)</f>
        <v/>
      </c>
      <c r="G3" s="115">
        <f>IF(A3="","",CONCATENATE("H"))</f>
        <v/>
      </c>
      <c r="I3" s="115">
        <f>IF(COUNTBLANK(D3:G3)=4,"",SUM(D3:G3))</f>
        <v/>
      </c>
    </row>
    <row r="4" ht="17" customFormat="1" customHeight="1" s="525">
      <c r="A4" s="43" t="n"/>
      <c r="B4" s="53" t="n"/>
      <c r="C4" s="264" t="n"/>
      <c r="D4" s="55" t="n"/>
      <c r="E4" s="129">
        <f>IF(D4="","",D4*100/70)</f>
        <v/>
      </c>
      <c r="F4" s="129">
        <f>IF(D4="","",E4*C4/100)</f>
        <v/>
      </c>
      <c r="G4" s="115">
        <f>IF(A4="","",CONCATENATE("H"))</f>
        <v/>
      </c>
      <c r="I4" s="115">
        <f>IF(COUNTBLANK(D4:G4)=4,"",SUM(D4:G4))</f>
        <v/>
      </c>
    </row>
    <row r="5" ht="21" customFormat="1" customHeight="1" s="88">
      <c r="A5" s="533" t="inlineStr">
        <is>
          <t>Total</t>
        </is>
      </c>
      <c r="B5" s="491" t="n"/>
      <c r="C5" s="491" t="n"/>
      <c r="D5" s="491" t="n"/>
      <c r="E5" s="481" t="n"/>
      <c r="F5" s="129">
        <f>SUM(F3:OFFSET(EstateTrust.ListTOS,-1,0))</f>
        <v/>
      </c>
      <c r="G5" s="115" t="n"/>
      <c r="H5" s="239" t="n"/>
      <c r="J5" s="115" t="n"/>
    </row>
    <row r="6" ht="37.5" customHeight="1" s="486">
      <c r="A6" s="115" t="n"/>
      <c r="B6" s="115" t="n"/>
      <c r="C6" s="115" t="n"/>
      <c r="D6" s="115" t="n"/>
      <c r="E6" s="115" t="n"/>
      <c r="F6" s="115" t="n"/>
      <c r="G6" s="115" t="n"/>
    </row>
    <row r="7" ht="31.5" customFormat="1" customHeight="1" s="525">
      <c r="A7" s="505" t="inlineStr">
        <is>
          <t>Section H : Details of Share of Income in which Taxpayer is a Beneficiary of Estate(s)/Trust(s)/Settlement (Wife)</t>
        </is>
      </c>
      <c r="B7" s="491" t="n"/>
      <c r="C7" s="491" t="n"/>
      <c r="D7" s="491" t="n"/>
      <c r="E7" s="491" t="n"/>
      <c r="F7" s="481" t="n"/>
      <c r="G7" s="115" t="n"/>
      <c r="H7" s="115" t="n"/>
      <c r="I7" s="115" t="n"/>
      <c r="J7" s="115" t="n"/>
    </row>
    <row r="8" ht="51" customFormat="1" customHeight="1" s="116">
      <c r="A8" s="34" t="inlineStr">
        <is>
          <t>PIN of Estate/Trust/Settlement</t>
        </is>
      </c>
      <c r="B8" s="34" t="inlineStr">
        <is>
          <t>Name of Estate/Trust/Settlement</t>
        </is>
      </c>
      <c r="C8" s="34" t="inlineStr">
        <is>
          <t>% Share of Income
(A)</t>
        </is>
      </c>
      <c r="D8" s="34" t="inlineStr">
        <is>
          <t>Amount of Actual Distributable Income (Ksh)
(B)</t>
        </is>
      </c>
      <c r="E8" s="34" t="inlineStr">
        <is>
          <t>Taxable Amount on Deemed Basis (Ksh) 
(C) = ((B*100)/70)</t>
        </is>
      </c>
      <c r="F8" s="34" t="inlineStr">
        <is>
          <t>Amount of Share of Income  (Ksh) 
(D) = (C*A)</t>
        </is>
      </c>
      <c r="G8" s="115" t="inlineStr">
        <is>
          <t>spouse code</t>
        </is>
      </c>
      <c r="I8" s="115" t="n"/>
    </row>
    <row r="9" ht="17" customFormat="1" customHeight="1" s="525">
      <c r="A9" s="286" t="n"/>
      <c r="B9" s="409" t="n"/>
      <c r="C9" s="455" t="n"/>
      <c r="D9" s="64" t="n"/>
      <c r="E9" s="129">
        <f>IF(D9="","",D9*100/70)</f>
        <v/>
      </c>
      <c r="F9" s="129">
        <f>IF(D9="","",E9*C9/100)</f>
        <v/>
      </c>
      <c r="G9" s="115">
        <f>IF(A9="","",CONCATENATE("W"))</f>
        <v/>
      </c>
      <c r="I9" s="115">
        <f>IF(COUNTBLANK(D9:G9)=4,"",SUM(D9:G9))</f>
        <v/>
      </c>
    </row>
    <row r="10" ht="17" customFormat="1" customHeight="1" s="525">
      <c r="A10" s="286" t="n"/>
      <c r="B10" s="409" t="n"/>
      <c r="C10" s="455" t="n"/>
      <c r="D10" s="64" t="n"/>
      <c r="E10" s="129">
        <f>IF(D10="","",D10*100/70)</f>
        <v/>
      </c>
      <c r="F10" s="129">
        <f>IF(D10="","",E10*C10/100)</f>
        <v/>
      </c>
      <c r="G10" s="115">
        <f>IF(A10="","",CONCATENATE("W"))</f>
        <v/>
      </c>
      <c r="I10" s="115">
        <f>IF(COUNTBLANK(D10:G10)=4,"",SUM(D10:G10))</f>
        <v/>
      </c>
    </row>
    <row r="11" ht="21" customFormat="1" customHeight="1" s="88">
      <c r="A11" s="533" t="inlineStr">
        <is>
          <t>Total</t>
        </is>
      </c>
      <c r="B11" s="491" t="n"/>
      <c r="C11" s="491" t="n"/>
      <c r="D11" s="491" t="n"/>
      <c r="E11" s="481" t="n"/>
      <c r="F11" s="129">
        <f>SUM(F9:OFFSET(EstateTrust.ListTOW,-1,0))</f>
        <v/>
      </c>
      <c r="G11" s="115" t="n"/>
      <c r="H11" s="239" t="n"/>
      <c r="J11" s="115" t="n"/>
    </row>
    <row r="12" ht="37.5" customHeight="1" s="486">
      <c r="A12" s="115" t="n"/>
      <c r="B12" s="115" t="n"/>
      <c r="C12" s="115" t="n"/>
      <c r="D12" s="115" t="n"/>
      <c r="E12" s="115" t="n"/>
      <c r="F12" s="115" t="n"/>
      <c r="G12" s="115" t="n"/>
    </row>
    <row r="13" ht="37.5" customHeight="1" s="486">
      <c r="A13" s="115" t="n"/>
      <c r="B13" s="115" t="n"/>
      <c r="C13" s="115" t="n"/>
      <c r="D13" s="115" t="n"/>
      <c r="E13" s="115" t="n"/>
      <c r="F13" s="115" t="n"/>
      <c r="G13" s="115" t="n"/>
    </row>
  </sheetData>
  <sheetProtection selectLockedCells="0" selectUnlockedCells="0" algorithmName="SHA-512" sheet="1" objects="1" insertRows="1" insertHyperlinks="1" autoFilter="1" scenarios="1" formatColumns="1" deleteColumns="1" insertColumns="1" pivotTables="1" deleteRows="1" formatCells="1" saltValue="DpO2BHt9AfyPWmz5J3nG+g==" formatRows="1" sort="1" spinCount="100000" hashValue="ChsXDWrA5dpg3wlYzlG61G/OizuYHa2tvpO7jGiZuPQQ3zAQ2OfqhYEwUOOE40rtrrnahO/ojB5llpL8XytIXA=="/>
  <mergeCells count="4">
    <mergeCell ref="A11:E11"/>
    <mergeCell ref="A5:E5"/>
    <mergeCell ref="A1:F1"/>
    <mergeCell ref="A7:F7"/>
  </mergeCells>
  <dataValidations count="5">
    <dataValidation sqref="D3:D4 D9:D10"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C3:C4 C9:C10" showDropDown="0" showInputMessage="1" showErrorMessage="1" allowBlank="0" errorTitle="Data Error:" error="Please enter Percentage value in range of  0 to 100." promptTitle="Percentage:" prompt="Enter Percentage value in range of  0 to 100." type="decimal">
      <formula1>0</formula1>
      <formula2>100</formula2>
    </dataValidation>
    <dataValidation sqref="B3:B4 B9:B10"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formula1>1</formula1>
      <formula2>50</formula2>
    </dataValidation>
    <dataValidation sqref="A3:A4 A9:A10" showDropDown="0" showInputMessage="1" showErrorMessage="1" allowBlank="0" errorTitle="Data Error:" error="Please enter PIN in proper format.  " promptTitle="Alphanumeric:" prompt="Enter 11 digit alphanumeric values for PIN. " type="textLength">
      <formula1>11</formula1>
      <formula2>11</formula2>
    </dataValidation>
    <dataValidation sqref="E3:F4 E9:F10" showDropDown="0" showInputMessage="0" showErrorMessage="0" allowBlank="0" errorTitle="Data Error:" error="Please enter positive numeric value of length less than or equal to 15 digit." promptTitle="Numeric:" prompt="Enter numeric value of length less than or equal to 15 digit."/>
  </dataValidations>
  <pageMargins left="0.7" right="0.7" top="0.75" bottom="0.75" header="0.3" footer="0.3"/>
  <pageSetup orientation="portrait"/>
  <drawing r:id="rId1"/>
</worksheet>
</file>

<file path=xl/worksheets/sheet20.xml><?xml version="1.0" encoding="utf-8"?>
<worksheet xmlns:r="http://schemas.openxmlformats.org/officeDocument/2006/relationships" xmlns="http://schemas.openxmlformats.org/spreadsheetml/2006/main">
  <sheetPr codeName="Sheet13">
    <outlinePr summaryBelow="1" summaryRight="1"/>
    <pageSetUpPr/>
  </sheetPr>
  <dimension ref="A1:N17"/>
  <sheetViews>
    <sheetView zoomScaleNormal="100" workbookViewId="0">
      <selection activeCell="A3" sqref="A3"/>
    </sheetView>
  </sheetViews>
  <sheetFormatPr baseColWidth="10" defaultColWidth="0" defaultRowHeight="16" zeroHeight="1"/>
  <cols>
    <col width="27.6640625" customWidth="1" style="525" min="1" max="10"/>
    <col width="4.6640625" customWidth="1" style="525" min="11" max="14"/>
    <col hidden="1" width="10.6640625" customWidth="1" style="525" min="15" max="15"/>
    <col hidden="1" width="10.6640625" customWidth="1" style="525" min="16" max="16384"/>
  </cols>
  <sheetData>
    <row r="1" ht="31.5" customHeight="1" s="486">
      <c r="A1" s="560" t="inlineStr">
        <is>
          <t>Section I : Computation of Value of Car Benefit (Self)</t>
        </is>
      </c>
      <c r="B1" s="491" t="n"/>
      <c r="C1" s="491" t="n"/>
      <c r="D1" s="491" t="n"/>
      <c r="E1" s="491" t="n"/>
      <c r="F1" s="491" t="n"/>
      <c r="G1" s="241" t="n"/>
      <c r="H1" s="241" t="n"/>
      <c r="I1" s="241" t="n"/>
      <c r="J1" s="242" t="n"/>
      <c r="K1" s="93" t="n"/>
      <c r="L1" s="93" t="n"/>
      <c r="M1" s="93" t="n"/>
      <c r="N1" s="93" t="n"/>
    </row>
    <row r="2" ht="34" customHeight="1" s="486">
      <c r="A2" s="147" t="inlineStr">
        <is>
          <t>PIN of Employer</t>
        </is>
      </c>
      <c r="B2" s="147" t="inlineStr">
        <is>
          <t>Car Registration Number</t>
        </is>
      </c>
      <c r="C2" s="147" t="inlineStr">
        <is>
          <t>Make</t>
        </is>
      </c>
      <c r="D2" s="147" t="inlineStr">
        <is>
          <t>Body Type</t>
        </is>
      </c>
      <c r="E2" s="147" t="inlineStr">
        <is>
          <t>CC Rating</t>
        </is>
      </c>
      <c r="F2" s="147" t="inlineStr">
        <is>
          <t>Type of Car</t>
        </is>
      </c>
      <c r="G2" s="147" t="inlineStr">
        <is>
          <t>Cost of Hiring / Leasing (Ksh)</t>
        </is>
      </c>
      <c r="H2" s="147" t="inlineStr">
        <is>
          <t>Cost of Own Car (Ksh)</t>
        </is>
      </c>
      <c r="I2" s="147" t="inlineStr">
        <is>
          <t>Period of Use during the Year (in Months)</t>
        </is>
      </c>
      <c r="J2" s="147" t="inlineStr">
        <is>
          <t>Value of Car Benefit (Ksh)</t>
        </is>
      </c>
      <c r="K2" s="93" t="inlineStr">
        <is>
          <t>strSpouseCode</t>
        </is>
      </c>
      <c r="L2" s="93" t="n"/>
      <c r="M2" s="93" t="n"/>
      <c r="N2" s="93" t="n"/>
    </row>
    <row r="3" ht="17" customHeight="1" s="486">
      <c r="A3" s="186" t="n"/>
      <c r="B3" s="81" t="n"/>
      <c r="C3" s="81" t="n"/>
      <c r="D3" s="81" t="n"/>
      <c r="E3" s="172" t="n"/>
      <c r="F3" s="96" t="n"/>
      <c r="G3" s="55" t="n"/>
      <c r="H3" s="64" t="n"/>
      <c r="I3" s="173" t="n"/>
      <c r="J3" s="64">
        <f>IF(M3&lt;&gt;"HIRED",IF(L3="","",IF(L3="SLNHTCH",IF(LOOKUP(E3,{0,1201,1501,1751,2001,3001},{3600,4200,5800,7200,8600,14400})&gt;(H3*2%),LOOKUP(E3,{0,1201,1501,1751,2001,3001},{3600,4200,5800,7200,8600,14400}),H3*2%),IF(L3="PICKUPS",IF(LOOKUP(E3,{0,1751},{3600,4200})&gt;(H3*2%),LOOKUP(E3,{0,1751},{3600,4200}),H3*2%),IF(L3="LANDOVER",IF(7200&gt;H3*2%,7200,H3*2%),0)))*I3),IF(G3="","",G3))</f>
        <v/>
      </c>
      <c r="K3" s="93">
        <f>IF(J3="","",CONCATENATE("H"))</f>
        <v/>
      </c>
      <c r="L3" s="93" t="n"/>
      <c r="M3" s="93" t="n"/>
      <c r="N3" s="93">
        <f>CONCATENATE(A3,B3)</f>
        <v/>
      </c>
    </row>
    <row r="4" ht="17" customHeight="1" s="486">
      <c r="A4" s="186" t="n"/>
      <c r="B4" s="81" t="n"/>
      <c r="C4" s="81" t="n"/>
      <c r="D4" s="81" t="n"/>
      <c r="E4" s="172" t="n"/>
      <c r="F4" s="96" t="n"/>
      <c r="G4" s="64" t="n"/>
      <c r="H4" s="174" t="n"/>
      <c r="I4" s="173" t="n"/>
      <c r="J4" s="64">
        <f>IF(M4&lt;&gt;"HIRED",IF(L4="","",IF(L4="SLNHTCH",IF(LOOKUP(E4,{0,1201,1501,1751,2001,3001},{3600,4200,5800,7200,8600,14400})&gt;(H4*2%),LOOKUP(E4,{0,1201,1501,1751,2001,3001},{3600,4200,5800,7200,8600,14400}),H4*2%),IF(L4="PICKUPS",IF(LOOKUP(E4,{0,1751},{3600,4200})&gt;(H4*2%),LOOKUP(E4,{0,1751},{3600,4200}),H4*2%),IF(L4="LANDOVER",IF(7200&gt;H4*2%,7200,H4*2%),0)))*I4),IF(G4="","",G4))</f>
        <v/>
      </c>
      <c r="K4" s="93">
        <f>IF(J4="","",CONCATENATE("H"))</f>
        <v/>
      </c>
      <c r="L4" s="93" t="n"/>
      <c r="M4" s="93" t="n"/>
      <c r="N4" s="93">
        <f>CONCATENATE(A4,B4)</f>
        <v/>
      </c>
    </row>
    <row r="5">
      <c r="A5" s="564" t="inlineStr">
        <is>
          <t>Total</t>
        </is>
      </c>
      <c r="B5" s="491" t="n"/>
      <c r="C5" s="491" t="n"/>
      <c r="D5" s="491" t="n"/>
      <c r="E5" s="491" t="n"/>
      <c r="F5" s="491" t="n"/>
      <c r="G5" s="491" t="n"/>
      <c r="H5" s="491" t="n"/>
      <c r="I5" s="481" t="n"/>
      <c r="J5" s="129">
        <f>SUM(J3:OFFSET(CarBenefit.ListSTO,-1,0))</f>
        <v/>
      </c>
      <c r="K5" s="93" t="n"/>
      <c r="L5" s="93" t="n"/>
      <c r="M5" s="93" t="n"/>
      <c r="N5" s="93" t="n"/>
    </row>
    <row r="6">
      <c r="A6" s="94" t="n"/>
      <c r="B6" s="94" t="n"/>
      <c r="C6" s="94" t="n"/>
      <c r="D6" s="94" t="n"/>
      <c r="E6" s="94" t="n"/>
      <c r="F6" s="94" t="n"/>
      <c r="G6" s="94" t="n"/>
      <c r="H6" s="94" t="n"/>
      <c r="I6" s="94" t="n"/>
      <c r="J6" s="94" t="n"/>
      <c r="K6" s="93" t="n"/>
      <c r="L6" s="93" t="n"/>
      <c r="M6" s="93" t="n"/>
      <c r="N6" s="93" t="n"/>
    </row>
    <row r="7">
      <c r="A7" s="94" t="n"/>
      <c r="B7" s="94" t="n"/>
      <c r="C7" s="94" t="n"/>
      <c r="D7" s="94" t="n"/>
      <c r="E7" s="94" t="n"/>
      <c r="F7" s="94" t="n"/>
      <c r="G7" s="94" t="n"/>
      <c r="H7" s="94" t="n"/>
      <c r="I7" s="94" t="n"/>
      <c r="J7" s="94" t="n"/>
      <c r="K7" s="93" t="n"/>
      <c r="L7" s="93" t="n"/>
      <c r="M7" s="93" t="n"/>
      <c r="N7" s="93" t="n"/>
    </row>
    <row r="8">
      <c r="A8" s="94" t="n"/>
      <c r="B8" s="94" t="n"/>
      <c r="C8" s="94" t="n"/>
      <c r="D8" s="94" t="n"/>
      <c r="E8" s="94" t="n"/>
      <c r="F8" s="94" t="n"/>
      <c r="G8" s="94" t="n"/>
      <c r="H8" s="94" t="n"/>
      <c r="I8" s="94" t="n"/>
      <c r="J8" s="94" t="n"/>
      <c r="K8" s="93" t="n"/>
      <c r="L8" s="93" t="n"/>
      <c r="M8" s="93" t="n"/>
      <c r="N8" s="93" t="n"/>
    </row>
    <row r="9" ht="31.5" customHeight="1" s="486">
      <c r="A9" s="560" t="inlineStr">
        <is>
          <t>Section I : Computation of Value of Car Benefit (Wife)</t>
        </is>
      </c>
      <c r="B9" s="491" t="n"/>
      <c r="C9" s="491" t="n"/>
      <c r="D9" s="491" t="n"/>
      <c r="E9" s="491" t="n"/>
      <c r="F9" s="491" t="n"/>
      <c r="G9" s="241" t="n"/>
      <c r="H9" s="241" t="n"/>
      <c r="I9" s="241" t="n"/>
      <c r="J9" s="242" t="n"/>
      <c r="K9" s="93" t="n"/>
      <c r="L9" s="93" t="n"/>
      <c r="M9" s="93" t="n"/>
      <c r="N9" s="93" t="n"/>
    </row>
    <row r="10" ht="34" customHeight="1" s="486">
      <c r="A10" s="147" t="inlineStr">
        <is>
          <t>PIN of Employer</t>
        </is>
      </c>
      <c r="B10" s="147" t="inlineStr">
        <is>
          <t>Car Registration Number</t>
        </is>
      </c>
      <c r="C10" s="147" t="inlineStr">
        <is>
          <t>Make</t>
        </is>
      </c>
      <c r="D10" s="147" t="inlineStr">
        <is>
          <t>Body Type</t>
        </is>
      </c>
      <c r="E10" s="147" t="inlineStr">
        <is>
          <t>CC Rating</t>
        </is>
      </c>
      <c r="F10" s="147" t="inlineStr">
        <is>
          <t>Type of Car</t>
        </is>
      </c>
      <c r="G10" s="147" t="inlineStr">
        <is>
          <t>Cost of Hiring / Leasing (Ksh)</t>
        </is>
      </c>
      <c r="H10" s="147" t="inlineStr">
        <is>
          <t>Cost of Own Car (Ksh)</t>
        </is>
      </c>
      <c r="I10" s="147" t="inlineStr">
        <is>
          <t>Period of Use during the Year (in Months)</t>
        </is>
      </c>
      <c r="J10" s="147" t="inlineStr">
        <is>
          <t>Value of Car Benefit (Ksh)</t>
        </is>
      </c>
      <c r="K10" s="93" t="inlineStr">
        <is>
          <t>strSpouseCode</t>
        </is>
      </c>
      <c r="L10" s="93" t="n"/>
      <c r="M10" s="93" t="n"/>
      <c r="N10" s="93" t="n"/>
    </row>
    <row r="11" ht="17" customHeight="1" s="486">
      <c r="A11" s="97" t="n"/>
      <c r="B11" s="409" t="n"/>
      <c r="C11" s="409" t="n"/>
      <c r="D11" s="456" t="n"/>
      <c r="E11" s="467" t="n"/>
      <c r="F11" s="97" t="n"/>
      <c r="G11" s="64" t="n"/>
      <c r="H11" s="64" t="n"/>
      <c r="I11" s="467" t="n"/>
      <c r="J11" s="64">
        <f>IF(M11&lt;&gt;"HIRED",IF(L11="","",IF(L11="SLNHTCH",IF(LOOKUP(E11,{0,1201,1501,1751,2001,3001},{3600,4200,5800,7200,8600,14400})&gt;(H11*2%),LOOKUP(E11,{0,1201,1501,1751,2001,3001},{3600,4200,5800,7200,8600,14400}),H11*2%),IF(L11="PICKUPS",IF(LOOKUP(E11,{0,1751},{3600,4200})&gt;(H11*2%),LOOKUP(E11,{0,1751},{3600,4200}),H11*2%),IF(L11="LANDOVER",IF(7200&gt;H11*2%,7200,H11*2%),0)))*I11),IF(G11="","",G11))</f>
        <v/>
      </c>
      <c r="K11" s="93">
        <f>IF(J11="","",CONCATENATE("W"))</f>
        <v/>
      </c>
      <c r="L11" s="320" t="n"/>
      <c r="M11" s="320" t="n"/>
      <c r="N11" s="93">
        <f>CONCATENATE(A11,B11)</f>
        <v/>
      </c>
    </row>
    <row r="12" ht="17" customHeight="1" s="486">
      <c r="A12" s="97" t="n"/>
      <c r="B12" s="409" t="n"/>
      <c r="C12" s="409" t="n"/>
      <c r="D12" s="409" t="n"/>
      <c r="E12" s="468" t="n"/>
      <c r="F12" s="97" t="n"/>
      <c r="G12" s="64" t="n"/>
      <c r="H12" s="64" t="n"/>
      <c r="I12" s="467" t="n"/>
      <c r="J12" s="64">
        <f>IF(M12&lt;&gt;"HIRED",IF(L12="","",IF(L12="SLNHTCH",IF(LOOKUP(E12,{0,1201,1501,1751,2001,3001},{3600,4200,5800,7200,8600,14400})&gt;(H12*2%),LOOKUP(E12,{0,1201,1501,1751,2001,3001},{3600,4200,5800,7200,8600,14400}),H12*2%),IF(L12="PICKUPS",IF(LOOKUP(E12,{0,1751},{3600,4200})&gt;(H12*2%),LOOKUP(E12,{0,1751},{3600,4200}),H12*2%),IF(L12="LANDOVER",IF(7200&gt;H12*2%,7200,H12*2%),0)))*I12),IF(G12="","",G12))</f>
        <v/>
      </c>
      <c r="K12" s="93">
        <f>IF(J12="","",CONCATENATE("W"))</f>
        <v/>
      </c>
      <c r="L12" s="320" t="n"/>
      <c r="M12" s="320" t="n"/>
      <c r="N12" s="93">
        <f>CONCATENATE(A12,B12)</f>
        <v/>
      </c>
    </row>
    <row r="13">
      <c r="A13" s="564" t="inlineStr">
        <is>
          <t>Total</t>
        </is>
      </c>
      <c r="B13" s="491" t="n"/>
      <c r="C13" s="491" t="n"/>
      <c r="D13" s="491" t="n"/>
      <c r="E13" s="491" t="n"/>
      <c r="F13" s="491" t="n"/>
      <c r="G13" s="491" t="n"/>
      <c r="H13" s="491" t="n"/>
      <c r="I13" s="481" t="n"/>
      <c r="J13" s="129">
        <f>SUM(J11:OFFSET(CarBenefit.ListWTO,-1,0))</f>
        <v/>
      </c>
      <c r="K13" s="93" t="n"/>
      <c r="L13" s="93" t="n"/>
      <c r="M13" s="93" t="n"/>
      <c r="N13" s="93" t="n"/>
    </row>
    <row r="14" ht="37.5" customHeight="1" s="486">
      <c r="A14" s="94" t="n"/>
      <c r="B14" s="94" t="n"/>
      <c r="C14" s="94" t="n"/>
      <c r="D14" s="94" t="n"/>
      <c r="E14" s="94" t="n"/>
      <c r="F14" s="94" t="n"/>
      <c r="G14" s="94" t="n"/>
      <c r="H14" s="94" t="n"/>
      <c r="I14" s="94" t="n"/>
      <c r="J14" s="94" t="n"/>
      <c r="K14" s="93" t="n"/>
      <c r="L14" s="93" t="n"/>
      <c r="M14" s="93" t="n"/>
      <c r="N14" s="93" t="n"/>
    </row>
    <row r="15" ht="37.5" customHeight="1" s="486">
      <c r="A15" s="94" t="n"/>
      <c r="B15" s="94" t="n"/>
      <c r="C15" s="94" t="n"/>
      <c r="D15" s="94" t="n"/>
      <c r="E15" s="94" t="n"/>
      <c r="F15" s="94" t="n"/>
      <c r="G15" s="94" t="n"/>
      <c r="H15" s="94" t="n"/>
      <c r="I15" s="94" t="n"/>
      <c r="J15" s="94" t="n"/>
      <c r="K15" s="93" t="n"/>
      <c r="L15" s="93" t="n"/>
      <c r="M15" s="93" t="n"/>
      <c r="N15" s="93" t="n"/>
    </row>
    <row r="16" hidden="1" s="486">
      <c r="B16" s="94" t="n"/>
      <c r="C16" s="94" t="n"/>
      <c r="D16" s="94" t="n"/>
      <c r="E16" s="94" t="n"/>
      <c r="F16" s="94" t="n"/>
      <c r="G16" s="94" t="n"/>
      <c r="H16" s="94" t="n"/>
      <c r="I16" s="94" t="n"/>
      <c r="J16" s="94" t="n"/>
      <c r="K16" s="93" t="n"/>
    </row>
    <row r="17" hidden="1" s="486">
      <c r="B17" s="94" t="n"/>
      <c r="C17" s="94" t="n"/>
      <c r="D17" s="94" t="n"/>
      <c r="E17" s="94" t="n"/>
      <c r="F17" s="94" t="n"/>
      <c r="G17" s="94" t="n"/>
      <c r="H17" s="94" t="n"/>
      <c r="I17" s="94" t="n"/>
      <c r="J17" s="94" t="n"/>
      <c r="K17" s="93" t="n"/>
    </row>
  </sheetData>
  <sheetProtection selectLockedCells="0" selectUnlockedCells="0" algorithmName="SHA-512" sheet="1" objects="1" insertRows="1" insertHyperlinks="1" autoFilter="1" scenarios="1" formatColumns="1" deleteColumns="1" insertColumns="1" pivotTables="1" deleteRows="1" formatCells="1" saltValue="Hhcjd183+iVMjth8mK7srg==" formatRows="1" sort="1" spinCount="100000" hashValue="HtjgSHjPrI9Yi5ZgERMu96z7pki9zlhAlt/Nii4HID4VpfrmQezBQq4I2Qk0KAI+iNTeCAlmsagDzuIe6D54CA=="/>
  <mergeCells count="4">
    <mergeCell ref="A5:I5"/>
    <mergeCell ref="A13:I13"/>
    <mergeCell ref="A1:F1"/>
    <mergeCell ref="A9:F9"/>
  </mergeCells>
  <dataValidations xWindow="251" yWindow="287" count="9">
    <dataValidation sqref="B3:B4 B11:B12" showDropDown="0" showInputMessage="1" showErrorMessage="1" allowBlank="0" error="Please enter alphanumeric value of length less than or equal to 20  characters." promptTitle="Alphanumeric:" prompt="Enter alphanumeric value of length less than or equal to 20  characters.Special characters like Space , - . / : are allowed." type="textLength">
      <formula1>1</formula1>
      <formula2>20</formula2>
    </dataValidation>
    <dataValidation sqref="C3:C4 C11:C12"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formula1>1</formula1>
      <formula2>50</formula2>
    </dataValidation>
    <dataValidation sqref="D3:D4 D11:D12" showDropDown="0" showInputMessage="1" showErrorMessage="1" allowBlank="0" errorTitle="Data Error:" error="Please select data from DropDown Only. " promptTitle="List:" prompt="Select data from DropDown List. " type="list">
      <formula1>BodyTypes</formula1>
    </dataValidation>
    <dataValidation sqref="E3:E4 E11:E12 G3:H4 G11:H12"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F3:F4 F11:F12" showDropDown="0" showInputMessage="1" showErrorMessage="1" allowBlank="0" errorTitle="Data Error:" error="Please select data from DropDown Only. " promptTitle="List:" prompt="Select data from DropDown List. " type="list">
      <formula1>CarType</formula1>
    </dataValidation>
    <dataValidation sqref="J3:J4 J11:J12" showDropDown="0" showInputMessage="0" showErrorMessage="0" allowBlank="0" errorTitle="Data Error:" error="Please enter positive numeric value of length less than or equal to 15 digit." promptTitle="Numeric:" prompt="Enter numeric value of length less than or equal to 15 digit."/>
    <dataValidation sqref="A11:A12" showDropDown="0" showInputMessage="1" showErrorMessage="1" allowBlank="0" errorTitle="Data Error:" error="Please select data from DropDown Only. " promptTitle="List:" prompt="Select data from DropDown List. " type="list">
      <formula1>PINofEmployerW</formula1>
    </dataValidation>
    <dataValidation sqref="A3:A4" showDropDown="0" showInputMessage="1" showErrorMessage="1" allowBlank="0" errorTitle="Data Error:" error="Please select data from DropDown Only. " promptTitle="List:" prompt="Select data from DropDown List. " type="list">
      <formula1>PINofEmployerS</formula1>
    </dataValidation>
    <dataValidation sqref="I3:I4 I11:I12" showDropDown="0" showInputMessage="1" showErrorMessage="1" allowBlank="0" errorTitle="Data Error:" error="Please enter numeric value in range of  0 to 12." promptTitle="Numeric:" prompt="Enter numeric value in range of  0 to 12." type="whole">
      <formula1>0</formula1>
      <formula2>12</formula2>
    </dataValidation>
  </dataValidations>
  <pageMargins left="0.7" right="0.7" top="0.75" bottom="0.75" header="0.5118055555555555" footer="0.5118055555555555"/>
  <pageSetup orientation="portrait" paperSize="9" firstPageNumber="0" horizontalDpi="300" verticalDpi="300"/>
  <drawing r:id="rId1"/>
</worksheet>
</file>

<file path=xl/worksheets/sheet21.xml><?xml version="1.0" encoding="utf-8"?>
<worksheet xmlns:r="http://schemas.openxmlformats.org/officeDocument/2006/relationships" xmlns="http://schemas.openxmlformats.org/spreadsheetml/2006/main">
  <sheetPr codeName="Sheet7">
    <outlinePr summaryBelow="1" summaryRight="1"/>
    <pageSetUpPr/>
  </sheetPr>
  <dimension ref="A1:H29"/>
  <sheetViews>
    <sheetView zoomScaleNormal="100" workbookViewId="0">
      <selection activeCell="F7" sqref="F7"/>
    </sheetView>
  </sheetViews>
  <sheetFormatPr baseColWidth="10" defaultColWidth="0" defaultRowHeight="16" zeroHeight="1"/>
  <cols>
    <col width="27.6640625" customWidth="1" style="417" min="1" max="6"/>
    <col width="7.1640625" customWidth="1" style="417" min="7" max="8"/>
    <col hidden="1" width="13" customWidth="1" style="525" min="9" max="9"/>
    <col hidden="1" width="13" customWidth="1" style="525" min="10" max="16384"/>
  </cols>
  <sheetData>
    <row r="1" ht="31.5" customHeight="1" s="486">
      <c r="A1" s="565" t="inlineStr">
        <is>
          <t>Section J : Computation of Mortgage Interest (Self)</t>
        </is>
      </c>
      <c r="B1" s="474" t="n"/>
      <c r="C1" s="474" t="n"/>
      <c r="D1" s="474" t="n"/>
      <c r="E1" s="474" t="n"/>
      <c r="F1" s="475" t="n"/>
      <c r="G1" s="327" t="n"/>
      <c r="H1" s="327" t="n"/>
    </row>
    <row r="2" ht="34" customHeight="1" s="486">
      <c r="A2" s="34" t="inlineStr">
        <is>
          <t>PIN of Lender</t>
        </is>
      </c>
      <c r="B2" s="34" t="inlineStr">
        <is>
          <t>Name of Lender</t>
        </is>
      </c>
      <c r="C2" s="34" t="inlineStr">
        <is>
          <t>Mortgage Account Number</t>
        </is>
      </c>
      <c r="D2" s="34" t="inlineStr">
        <is>
          <t>Amount Borrowed (Ksh)</t>
        </is>
      </c>
      <c r="E2" s="34" t="inlineStr">
        <is>
          <t>Amount Outstanding at Year End (Ksh)</t>
        </is>
      </c>
      <c r="F2" s="34" t="inlineStr">
        <is>
          <t>Amount of Interest Paid (Ksh)</t>
        </is>
      </c>
      <c r="G2" s="327" t="inlineStr">
        <is>
          <t>strSpouseCode</t>
        </is>
      </c>
      <c r="H2" s="327" t="n"/>
    </row>
    <row r="3">
      <c r="A3" s="30" t="n"/>
      <c r="B3" s="30" t="n"/>
      <c r="C3" s="38" t="n"/>
      <c r="D3" s="31" t="n"/>
      <c r="E3" s="31" t="n"/>
      <c r="F3" s="31" t="n"/>
      <c r="G3" s="327">
        <f>IF(F3="","",CONCATENATE("H"))</f>
        <v/>
      </c>
      <c r="H3" s="327" t="n"/>
    </row>
    <row r="4">
      <c r="A4" s="30" t="n"/>
      <c r="B4" s="30" t="n"/>
      <c r="C4" s="38" t="n"/>
      <c r="D4" s="31" t="n"/>
      <c r="E4" s="31" t="n"/>
      <c r="F4" s="31" t="n"/>
      <c r="G4" s="327">
        <f>IF(F4="","",CONCATENATE("H"))</f>
        <v/>
      </c>
      <c r="H4" s="327" t="n"/>
    </row>
    <row r="5" ht="16.5" customHeight="1" s="486">
      <c r="A5" s="566" t="inlineStr">
        <is>
          <t>Total</t>
        </is>
      </c>
      <c r="B5" s="474" t="n"/>
      <c r="C5" s="474" t="n"/>
      <c r="D5" s="474" t="n"/>
      <c r="E5" s="475" t="n"/>
      <c r="F5" s="133">
        <f>SUM(F3:OFFSET(MortgageIntDtls.ListSTO,-1,0))</f>
        <v/>
      </c>
      <c r="G5" s="327" t="n"/>
      <c r="H5" s="327" t="n"/>
    </row>
    <row r="6" ht="16.5" customHeight="1" s="486">
      <c r="A6" s="561" t="inlineStr">
        <is>
          <t>January - June:  Interest</t>
        </is>
      </c>
      <c r="B6" s="474" t="n"/>
      <c r="C6" s="474" t="n"/>
      <c r="D6" s="474" t="n"/>
      <c r="E6" s="475" t="n"/>
      <c r="F6" s="413" t="n">
        <v>0</v>
      </c>
      <c r="G6" s="435">
        <f>SUM(F6:F7)</f>
        <v/>
      </c>
      <c r="H6" s="327" t="n"/>
    </row>
    <row r="7" ht="16.5" customHeight="1" s="486">
      <c r="A7" s="561" t="inlineStr">
        <is>
          <t>July - December:  Interest</t>
        </is>
      </c>
      <c r="B7" s="474" t="n"/>
      <c r="C7" s="474" t="n"/>
      <c r="D7" s="474" t="n"/>
      <c r="E7" s="475" t="n"/>
      <c r="F7" s="413" t="n">
        <v>0</v>
      </c>
      <c r="G7" s="327" t="n"/>
      <c r="H7" s="327" t="n"/>
    </row>
    <row r="8" ht="16.5" customHeight="1" s="486">
      <c r="A8" s="66" t="n"/>
      <c r="B8" s="66" t="n"/>
      <c r="C8" s="66" t="n"/>
      <c r="D8" s="66" t="n"/>
      <c r="E8" s="66" t="n"/>
      <c r="F8" s="66" t="n"/>
      <c r="G8" s="327" t="n"/>
      <c r="H8" s="327" t="n"/>
    </row>
    <row r="9" ht="16.5" customHeight="1" s="486">
      <c r="A9" s="66" t="n"/>
      <c r="B9" s="66" t="n"/>
      <c r="C9" s="66" t="n"/>
      <c r="D9" s="66" t="n"/>
      <c r="E9" s="66" t="n"/>
      <c r="F9" s="66" t="n"/>
      <c r="G9" s="327" t="n"/>
      <c r="H9" s="327" t="n"/>
    </row>
    <row r="10" ht="16.5" customHeight="1" s="486">
      <c r="A10" s="66" t="n"/>
      <c r="B10" s="66" t="n"/>
      <c r="C10" s="66" t="n"/>
      <c r="D10" s="66" t="n"/>
      <c r="E10" s="66" t="n"/>
      <c r="F10" s="66" t="n"/>
      <c r="G10" s="327" t="n"/>
      <c r="H10" s="327" t="n"/>
    </row>
    <row r="11" ht="31.5" customHeight="1" s="486">
      <c r="A11" s="565" t="inlineStr">
        <is>
          <t>Section J : Computation of Mortgage Interest (Wife)</t>
        </is>
      </c>
      <c r="B11" s="474" t="n"/>
      <c r="C11" s="474" t="n"/>
      <c r="D11" s="474" t="n"/>
      <c r="E11" s="474" t="n"/>
      <c r="F11" s="475" t="n"/>
      <c r="G11" s="327" t="n"/>
      <c r="H11" s="327" t="n"/>
    </row>
    <row r="12" ht="34" customHeight="1" s="486">
      <c r="A12" s="34" t="inlineStr">
        <is>
          <t>PIN of Lender</t>
        </is>
      </c>
      <c r="B12" s="34" t="inlineStr">
        <is>
          <t>Name of Lender</t>
        </is>
      </c>
      <c r="C12" s="34" t="inlineStr">
        <is>
          <t>Mortgage Account Number</t>
        </is>
      </c>
      <c r="D12" s="34" t="inlineStr">
        <is>
          <t>Amount Borrowed (Ksh)</t>
        </is>
      </c>
      <c r="E12" s="34" t="inlineStr">
        <is>
          <t>Amount Outstanding at Year End (Ksh)</t>
        </is>
      </c>
      <c r="F12" s="34" t="inlineStr">
        <is>
          <t>Amount of Interest Paid (Ksh)</t>
        </is>
      </c>
      <c r="G12" s="327" t="inlineStr">
        <is>
          <t>strSpouseCode</t>
        </is>
      </c>
      <c r="H12" s="327" t="n"/>
    </row>
    <row r="13">
      <c r="A13" s="587" t="n"/>
      <c r="B13" s="587" t="n"/>
      <c r="C13" s="460" t="n"/>
      <c r="D13" s="22" t="n"/>
      <c r="E13" s="22" t="n"/>
      <c r="F13" s="22" t="n"/>
      <c r="G13" s="327">
        <f>IF(F13="","",CONCATENATE("W"))</f>
        <v/>
      </c>
      <c r="H13" s="327" t="n"/>
    </row>
    <row r="14">
      <c r="A14" s="587" t="n"/>
      <c r="B14" s="587" t="n"/>
      <c r="C14" s="460" t="n"/>
      <c r="D14" s="22" t="n"/>
      <c r="E14" s="22" t="n"/>
      <c r="F14" s="22" t="n"/>
      <c r="G14" s="327">
        <f>IF(F14="","",CONCATENATE("W"))</f>
        <v/>
      </c>
      <c r="H14" s="327" t="n"/>
    </row>
    <row r="15" ht="16.5" customHeight="1" s="486">
      <c r="A15" s="566" t="inlineStr">
        <is>
          <t>Total</t>
        </is>
      </c>
      <c r="B15" s="474" t="n"/>
      <c r="C15" s="474" t="n"/>
      <c r="D15" s="474" t="n"/>
      <c r="E15" s="475" t="n"/>
      <c r="F15" s="133">
        <f>SUM(F13:OFFSET(MortgageIntDtls.ListWTO,-1,0))</f>
        <v/>
      </c>
      <c r="G15" s="327" t="n"/>
      <c r="H15" s="327" t="n"/>
    </row>
    <row r="16" hidden="1" ht="16.5" customHeight="1" s="486">
      <c r="A16" s="561" t="inlineStr">
        <is>
          <t>January - March:  Interest</t>
        </is>
      </c>
      <c r="B16" s="474" t="n"/>
      <c r="C16" s="474" t="n"/>
      <c r="D16" s="474" t="n"/>
      <c r="E16" s="475" t="n"/>
      <c r="F16" s="413" t="n">
        <v>0</v>
      </c>
      <c r="G16" s="435">
        <f>SUM(F16:F17)</f>
        <v/>
      </c>
      <c r="H16" s="327" t="n"/>
    </row>
    <row r="17" hidden="1" ht="16.5" customHeight="1" s="486">
      <c r="A17" s="561" t="inlineStr">
        <is>
          <t>April-December:  Interest</t>
        </is>
      </c>
      <c r="B17" s="474" t="n"/>
      <c r="C17" s="474" t="n"/>
      <c r="D17" s="474" t="n"/>
      <c r="E17" s="475" t="n"/>
      <c r="F17" s="413" t="n">
        <v>0</v>
      </c>
      <c r="G17" s="327" t="n"/>
      <c r="H17" s="327" t="n"/>
    </row>
    <row r="18" ht="37.5" customFormat="1" customHeight="1" s="66">
      <c r="G18" s="61" t="n"/>
      <c r="H18" s="61" t="n"/>
    </row>
    <row r="19" ht="37.5" customFormat="1" customHeight="1" s="66">
      <c r="G19" s="61" t="n"/>
      <c r="H19" s="61" t="n"/>
    </row>
    <row r="20" hidden="1" ht="16.5" customFormat="1" customHeight="1" s="66">
      <c r="G20" s="61" t="n"/>
      <c r="H20" s="61" t="n"/>
    </row>
    <row r="21" hidden="1" ht="16.5" customHeight="1" s="486">
      <c r="A21" s="66" t="n"/>
      <c r="B21" s="66" t="n"/>
      <c r="C21" s="66" t="n"/>
      <c r="D21" s="66" t="n"/>
      <c r="E21" s="66" t="n"/>
      <c r="F21" s="66" t="n"/>
      <c r="G21" s="61" t="n"/>
      <c r="H21" s="61" t="n"/>
    </row>
    <row r="22" hidden="1" s="486">
      <c r="A22" s="525" t="n"/>
      <c r="B22" s="525" t="n"/>
      <c r="C22" s="525" t="n"/>
      <c r="D22" s="525" t="n"/>
      <c r="E22" s="525" t="n"/>
      <c r="F22" s="525" t="n"/>
      <c r="G22" s="525" t="n"/>
      <c r="H22" s="525" t="n"/>
    </row>
    <row r="23" hidden="1" s="486">
      <c r="A23" s="525" t="n"/>
      <c r="B23" s="525" t="n"/>
      <c r="C23" s="525" t="n"/>
      <c r="D23" s="525" t="n"/>
      <c r="E23" s="525" t="n"/>
      <c r="F23" s="525" t="n"/>
      <c r="G23" s="525" t="n"/>
      <c r="H23" s="525" t="n"/>
    </row>
    <row r="24" hidden="1" s="486">
      <c r="A24" s="525" t="n"/>
      <c r="B24" s="525" t="n"/>
      <c r="C24" s="525" t="n"/>
      <c r="D24" s="525" t="n"/>
      <c r="E24" s="525" t="n"/>
      <c r="F24" s="525" t="n"/>
      <c r="G24" s="525" t="n"/>
      <c r="H24" s="525" t="n"/>
    </row>
    <row r="25" hidden="1" s="486">
      <c r="A25" s="525" t="n"/>
      <c r="B25" s="525" t="n"/>
      <c r="C25" s="525" t="n"/>
      <c r="D25" s="525" t="n"/>
      <c r="E25" s="525" t="n"/>
      <c r="F25" s="525" t="n"/>
      <c r="G25" s="525" t="n"/>
      <c r="H25" s="525" t="n"/>
    </row>
    <row r="26" hidden="1" s="486">
      <c r="A26" s="525" t="n"/>
      <c r="B26" s="525" t="n"/>
      <c r="C26" s="525" t="n"/>
      <c r="D26" s="525" t="n"/>
      <c r="E26" s="525" t="n"/>
      <c r="F26" s="525" t="n"/>
      <c r="G26" s="525" t="n"/>
      <c r="H26" s="525" t="n"/>
    </row>
    <row r="27" hidden="1" s="486">
      <c r="A27" s="525" t="n"/>
      <c r="B27" s="525" t="n"/>
      <c r="C27" s="525" t="n"/>
      <c r="D27" s="525" t="n"/>
      <c r="E27" s="525" t="n"/>
      <c r="F27" s="525" t="n"/>
      <c r="G27" s="525" t="n"/>
      <c r="H27" s="525" t="n"/>
    </row>
    <row r="28" hidden="1" s="486">
      <c r="A28" s="525" t="n"/>
      <c r="B28" s="525" t="n"/>
      <c r="C28" s="525" t="n"/>
      <c r="D28" s="525" t="n"/>
      <c r="E28" s="525" t="n"/>
      <c r="F28" s="525" t="n"/>
      <c r="G28" s="525" t="n"/>
      <c r="H28" s="525" t="n"/>
    </row>
    <row r="29" hidden="1" s="486">
      <c r="A29" s="525" t="n"/>
      <c r="B29" s="525" t="n"/>
      <c r="C29" s="525" t="n"/>
      <c r="D29" s="525" t="n"/>
      <c r="E29" s="525" t="n"/>
      <c r="F29" s="525" t="n"/>
      <c r="G29" s="525" t="n"/>
      <c r="H29" s="525" t="n"/>
    </row>
  </sheetData>
  <sheetProtection selectLockedCells="0" selectUnlockedCells="0" algorithmName="SHA-512" sheet="1" objects="1" insertRows="1" insertHyperlinks="1" autoFilter="1" scenarios="1" formatColumns="1" deleteColumns="1" insertColumns="1" pivotTables="1" deleteRows="1" formatCells="1" saltValue="B1TcckkixfDVerfXXCQBhw==" formatRows="1" sort="1" spinCount="100000" hashValue="HrNcXAFf4HymN96jA+OM9kt6aVrwq9NbHKiCKh8SozMWukwfh+D8w50iFh45tpmYtslgXQ8W+LNcF9M5iPZ6ig=="/>
  <mergeCells count="8">
    <mergeCell ref="A11:F11"/>
    <mergeCell ref="A16:E16"/>
    <mergeCell ref="A15:E15"/>
    <mergeCell ref="A7:E7"/>
    <mergeCell ref="A1:F1"/>
    <mergeCell ref="A5:E5"/>
    <mergeCell ref="A6:E6"/>
    <mergeCell ref="A17:E17"/>
  </mergeCells>
  <dataValidations xWindow="133" yWindow="382" count="4">
    <dataValidation sqref="A3:A4 A13:A14" showDropDown="0" showInputMessage="1" showErrorMessage="1" allowBlank="0" errorTitle="Data Error:" error="Please enter PIN in proper format.  " promptTitle="Alphanumeric:" prompt="Enter 11 digit alphanumeric values for PIN. " type="textLength">
      <formula1>11</formula1>
      <formula2>11</formula2>
    </dataValidation>
    <dataValidation sqref="B3:B4 B13:B14"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formula1>1</formula1>
      <formula2>50</formula2>
    </dataValidation>
    <dataValidation sqref="D3:F4 D13:F14"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C3:C4 C13:C14" showDropDown="0" showInputMessage="1" showErrorMessage="1" allowBlank="0" errorTitle="Data Error:" error="Please Enter alphanumeric value of length less than or equal to 20  characters.Special characters are not allowed." promptTitle="Alphanumeric:" prompt="Enter alphanumeric value of length less than or equal to 20  characters.Special characters are not allowed." type="textLength">
      <formula1>1</formula1>
      <formula2>20</formula2>
    </dataValidation>
  </dataValidations>
  <pageMargins left="0.7" right="0.7" top="0.75" bottom="0.75" header="0.5118055555555555" footer="0.5118055555555555"/>
  <pageSetup orientation="portrait" paperSize="9" firstPageNumber="0" horizontalDpi="300" verticalDpi="300"/>
  <drawing r:id="rId1"/>
</worksheet>
</file>

<file path=xl/worksheets/sheet22.xml><?xml version="1.0" encoding="utf-8"?>
<worksheet xmlns:r="http://schemas.openxmlformats.org/officeDocument/2006/relationships" xmlns="http://schemas.openxmlformats.org/spreadsheetml/2006/main">
  <sheetPr codeName="Sheet10">
    <outlinePr summaryBelow="1" summaryRight="1"/>
    <pageSetUpPr/>
  </sheetPr>
  <dimension ref="A1:H32"/>
  <sheetViews>
    <sheetView zoomScaleNormal="100" workbookViewId="0">
      <selection activeCell="D4" sqref="D4"/>
    </sheetView>
  </sheetViews>
  <sheetFormatPr baseColWidth="10" defaultColWidth="0" defaultRowHeight="12.75" customHeight="1" zeroHeight="1"/>
  <cols>
    <col width="27.6640625" customWidth="1" style="414" min="1" max="4"/>
    <col width="14.33203125" customWidth="1" style="414" min="5" max="5"/>
    <col hidden="1" width="13" customWidth="1" style="525" min="6" max="6"/>
    <col hidden="1" width="13" customWidth="1" style="525" min="7" max="16384"/>
  </cols>
  <sheetData>
    <row r="1" ht="31.5" customFormat="1" customHeight="1" s="559">
      <c r="A1" s="565" t="inlineStr">
        <is>
          <t>Section K : Computation of  Deduction for Home Ownership Saving Plan (Self)</t>
        </is>
      </c>
      <c r="B1" s="474" t="n"/>
      <c r="C1" s="474" t="n"/>
      <c r="D1" s="475" t="n"/>
      <c r="E1" s="327" t="n"/>
      <c r="F1" s="436" t="n"/>
      <c r="G1" s="436" t="n"/>
      <c r="H1" s="436" t="n"/>
    </row>
    <row r="2" ht="34" customFormat="1" customHeight="1" s="559">
      <c r="A2" s="34" t="inlineStr">
        <is>
          <t>Financial Institution PIN</t>
        </is>
      </c>
      <c r="B2" s="34" t="inlineStr">
        <is>
          <t>Financial Institution Name</t>
        </is>
      </c>
      <c r="C2" s="34" t="inlineStr">
        <is>
          <t>Account Number</t>
        </is>
      </c>
      <c r="D2" s="34" t="inlineStr">
        <is>
          <t>Total Deposit for the Year (Ksh)</t>
        </is>
      </c>
      <c r="E2" s="327" t="inlineStr">
        <is>
          <t>strSpouseCode</t>
        </is>
      </c>
      <c r="F2" s="436" t="n"/>
      <c r="G2" s="436" t="n"/>
      <c r="H2" s="436" t="n"/>
    </row>
    <row r="3" ht="16" customFormat="1" customHeight="1" s="559">
      <c r="A3" s="28" t="n"/>
      <c r="B3" s="28" t="n"/>
      <c r="C3" s="170" t="n"/>
      <c r="D3" s="31" t="n"/>
      <c r="E3" s="327">
        <f>IF(D3="","",CONCATENATE("H"))</f>
        <v/>
      </c>
      <c r="F3" s="434" t="n"/>
      <c r="G3" s="434" t="n"/>
      <c r="H3" s="434" t="n"/>
    </row>
    <row r="4" ht="16" customFormat="1" customHeight="1" s="559">
      <c r="A4" s="28" t="n"/>
      <c r="B4" s="28" t="n"/>
      <c r="C4" s="170" t="n"/>
      <c r="D4" s="31" t="n"/>
      <c r="E4" s="327">
        <f>IF(D4="","",CONCATENATE("H"))</f>
        <v/>
      </c>
      <c r="F4" s="434" t="n"/>
      <c r="G4" s="434" t="n"/>
      <c r="H4" s="434" t="n"/>
    </row>
    <row r="5" ht="16.5" customFormat="1" customHeight="1" s="559">
      <c r="A5" s="567" t="inlineStr">
        <is>
          <t>Total</t>
        </is>
      </c>
      <c r="B5" s="474" t="n"/>
      <c r="C5" s="475" t="n"/>
      <c r="D5" s="133">
        <f>SUM(D3:OFFSET(HomeOwnershipSavingPlan.ListSTO,-1,0))</f>
        <v/>
      </c>
      <c r="E5" s="327" t="n"/>
      <c r="F5" s="434" t="n"/>
      <c r="G5" s="434" t="n"/>
      <c r="H5" s="434" t="n"/>
    </row>
    <row r="6" ht="16.5" customFormat="1" customHeight="1" s="559">
      <c r="A6" s="567" t="inlineStr">
        <is>
          <t>January - March:  Contribution</t>
        </is>
      </c>
      <c r="B6" s="474" t="n"/>
      <c r="C6" s="475" t="n"/>
      <c r="D6" s="413" t="n">
        <v>0</v>
      </c>
      <c r="E6" s="435">
        <f>SUM(D6:D7)</f>
        <v/>
      </c>
      <c r="F6" s="434" t="n"/>
      <c r="G6" s="434" t="n"/>
      <c r="H6" s="434" t="n"/>
    </row>
    <row r="7" ht="16.5" customFormat="1" customHeight="1" s="559">
      <c r="A7" s="567" t="inlineStr">
        <is>
          <t>April-December:  Contribution</t>
        </is>
      </c>
      <c r="B7" s="474" t="n"/>
      <c r="C7" s="475" t="n"/>
      <c r="D7" s="413" t="n">
        <v>0</v>
      </c>
      <c r="E7" s="327" t="n"/>
      <c r="F7" s="434" t="n"/>
      <c r="G7" s="434" t="n"/>
      <c r="H7" s="434" t="n"/>
    </row>
    <row r="8" ht="16.5" customFormat="1" customHeight="1" s="559">
      <c r="A8" s="66" t="n"/>
      <c r="B8" s="66" t="n"/>
      <c r="C8" s="66" t="n"/>
      <c r="D8" s="66" t="n"/>
      <c r="E8" s="327" t="n"/>
      <c r="F8" s="434" t="n"/>
      <c r="G8" s="434" t="n"/>
      <c r="H8" s="434" t="n"/>
    </row>
    <row r="9" ht="16.5" customFormat="1" customHeight="1" s="559">
      <c r="A9" s="66" t="n"/>
      <c r="B9" s="66" t="n"/>
      <c r="C9" s="66" t="n"/>
      <c r="D9" s="66" t="n"/>
      <c r="E9" s="327" t="n"/>
      <c r="F9" s="434" t="n"/>
      <c r="G9" s="434" t="n"/>
      <c r="H9" s="434" t="n"/>
    </row>
    <row r="10" ht="16.5" customFormat="1" customHeight="1" s="559">
      <c r="A10" s="66" t="n"/>
      <c r="B10" s="66" t="n"/>
      <c r="C10" s="66" t="n"/>
      <c r="D10" s="66" t="n"/>
      <c r="E10" s="327" t="n"/>
      <c r="F10" s="434" t="n"/>
      <c r="G10" s="434" t="n"/>
      <c r="H10" s="434" t="n"/>
    </row>
    <row r="11" ht="31.5" customFormat="1" customHeight="1" s="559">
      <c r="A11" s="565" t="inlineStr">
        <is>
          <t>Section K : Computation of  Deduction for Home Ownership Saving Plan (Wife)</t>
        </is>
      </c>
      <c r="B11" s="474" t="n"/>
      <c r="C11" s="474" t="n"/>
      <c r="D11" s="475" t="n"/>
      <c r="E11" s="327" t="n"/>
      <c r="F11" s="436" t="n"/>
      <c r="G11" s="436" t="n"/>
      <c r="H11" s="436" t="n"/>
    </row>
    <row r="12" ht="34" customFormat="1" customHeight="1" s="559">
      <c r="A12" s="34" t="inlineStr">
        <is>
          <t>Financial Institution PIN</t>
        </is>
      </c>
      <c r="B12" s="34" t="inlineStr">
        <is>
          <t>Financial Institution Name</t>
        </is>
      </c>
      <c r="C12" s="34" t="inlineStr">
        <is>
          <t>Account Number</t>
        </is>
      </c>
      <c r="D12" s="34" t="inlineStr">
        <is>
          <t>Total Deposit for the Year (Ksh)</t>
        </is>
      </c>
      <c r="E12" s="327" t="inlineStr">
        <is>
          <t>strSpouseCode</t>
        </is>
      </c>
      <c r="F12" s="436" t="n"/>
      <c r="G12" s="436" t="n"/>
      <c r="H12" s="436" t="n"/>
    </row>
    <row r="13" ht="16" customFormat="1" customHeight="1" s="559">
      <c r="A13" s="460" t="n"/>
      <c r="B13" s="460" t="n"/>
      <c r="C13" s="588" t="n"/>
      <c r="D13" s="22" t="n"/>
      <c r="E13" s="327">
        <f>IF(D13="","",CONCATENATE("W"))</f>
        <v/>
      </c>
      <c r="F13" s="434" t="n"/>
      <c r="G13" s="434" t="n"/>
      <c r="H13" s="434" t="n"/>
    </row>
    <row r="14" ht="16" customFormat="1" customHeight="1" s="559">
      <c r="A14" s="460" t="n"/>
      <c r="B14" s="460" t="n"/>
      <c r="C14" s="588" t="n"/>
      <c r="D14" s="22" t="n"/>
      <c r="E14" s="327">
        <f>IF(D14="","",CONCATENATE("W"))</f>
        <v/>
      </c>
      <c r="F14" s="434" t="n"/>
      <c r="G14" s="434" t="n"/>
      <c r="H14" s="434" t="n"/>
    </row>
    <row r="15" ht="16.5" customFormat="1" customHeight="1" s="559">
      <c r="A15" s="567" t="inlineStr">
        <is>
          <t>Total</t>
        </is>
      </c>
      <c r="B15" s="474" t="n"/>
      <c r="C15" s="475" t="n"/>
      <c r="D15" s="133">
        <f>SUM(D13:OFFSET(HomeOwnershipSavingPlan.ListWTO,-1,0))</f>
        <v/>
      </c>
      <c r="E15" s="327" t="n"/>
      <c r="F15" s="434" t="n"/>
      <c r="G15" s="434" t="n"/>
      <c r="H15" s="434" t="n"/>
    </row>
    <row r="16" hidden="1" ht="16.5" customFormat="1" customHeight="1" s="559">
      <c r="A16" s="567" t="inlineStr">
        <is>
          <t>January - March:  Contribution</t>
        </is>
      </c>
      <c r="B16" s="474" t="n"/>
      <c r="C16" s="475" t="n"/>
      <c r="D16" s="413" t="n">
        <v>0</v>
      </c>
      <c r="E16" s="435">
        <f>SUM(D16:D17)</f>
        <v/>
      </c>
      <c r="F16" s="434" t="n"/>
      <c r="G16" s="434" t="n"/>
      <c r="H16" s="434" t="n"/>
    </row>
    <row r="17" hidden="1" ht="16.5" customFormat="1" customHeight="1" s="559">
      <c r="A17" s="567" t="inlineStr">
        <is>
          <t>April-December:  Contribution</t>
        </is>
      </c>
      <c r="B17" s="474" t="n"/>
      <c r="C17" s="475" t="n"/>
      <c r="D17" s="413" t="n">
        <v>0</v>
      </c>
      <c r="E17" s="327" t="n"/>
      <c r="F17" s="434" t="n"/>
      <c r="G17" s="434" t="n"/>
      <c r="H17" s="434" t="n"/>
    </row>
    <row r="18" ht="37.5" customHeight="1" s="486">
      <c r="A18" s="66" t="n"/>
      <c r="B18" s="66" t="n"/>
      <c r="C18" s="66" t="n"/>
      <c r="D18" s="134" t="n"/>
      <c r="E18" s="61" t="n"/>
    </row>
    <row r="19" ht="37.5" customHeight="1" s="486">
      <c r="A19" s="66" t="n"/>
      <c r="B19" s="66" t="n"/>
      <c r="C19" s="66" t="n"/>
      <c r="D19" s="66" t="n"/>
      <c r="E19" s="61" t="n"/>
    </row>
    <row r="20" hidden="1" ht="16.5" customHeight="1" s="486">
      <c r="A20" s="66" t="n"/>
      <c r="B20" s="66" t="n"/>
      <c r="C20" s="66" t="n"/>
      <c r="D20" s="66" t="n"/>
      <c r="E20" s="61" t="n"/>
    </row>
    <row r="21" hidden="1" ht="16.5" customHeight="1" s="486">
      <c r="A21" s="66" t="n"/>
      <c r="B21" s="66" t="n"/>
      <c r="C21" s="66" t="n"/>
      <c r="D21" s="66" t="n"/>
      <c r="E21" s="61" t="n"/>
    </row>
    <row r="22" hidden="1" ht="12.75" customHeight="1" s="486">
      <c r="A22" s="525" t="n"/>
      <c r="B22" s="525" t="n"/>
      <c r="C22" s="525" t="n"/>
      <c r="D22" s="525" t="n"/>
      <c r="E22" s="525" t="n"/>
    </row>
    <row r="23" hidden="1" ht="12.75" customHeight="1" s="486">
      <c r="A23" s="525" t="n"/>
      <c r="B23" s="525" t="n"/>
      <c r="C23" s="525" t="n"/>
      <c r="D23" s="525" t="n"/>
      <c r="E23" s="525" t="n"/>
    </row>
    <row r="24" hidden="1" ht="12.75" customHeight="1" s="486">
      <c r="A24" s="525" t="n"/>
      <c r="B24" s="525" t="n"/>
      <c r="C24" s="525" t="n"/>
      <c r="D24" s="525" t="n"/>
      <c r="E24" s="525" t="n"/>
    </row>
    <row r="25" hidden="1" ht="12.75" customHeight="1" s="486">
      <c r="A25" s="525" t="n"/>
      <c r="B25" s="525" t="n"/>
      <c r="C25" s="525" t="n"/>
      <c r="D25" s="525" t="n"/>
      <c r="E25" s="525" t="n"/>
    </row>
    <row r="26" hidden="1" ht="12.75" customHeight="1" s="486">
      <c r="A26" s="525" t="n"/>
      <c r="B26" s="525" t="n"/>
      <c r="C26" s="525" t="n"/>
      <c r="D26" s="525" t="n"/>
      <c r="E26" s="525" t="n"/>
    </row>
    <row r="27" hidden="1" ht="12.75" customHeight="1" s="486">
      <c r="A27" s="525" t="n"/>
      <c r="B27" s="525" t="n"/>
      <c r="C27" s="525" t="n"/>
      <c r="D27" s="525" t="n"/>
      <c r="E27" s="525" t="n"/>
    </row>
    <row r="28" hidden="1" ht="12.75" customHeight="1" s="486">
      <c r="A28" s="525" t="n"/>
      <c r="B28" s="525" t="n"/>
      <c r="C28" s="525" t="n"/>
      <c r="D28" s="525" t="n"/>
      <c r="E28" s="525" t="n"/>
    </row>
    <row r="29" ht="12.75" customHeight="1" s="486">
      <c r="A29" s="418" t="n"/>
      <c r="B29" s="418" t="n"/>
      <c r="C29" s="418" t="n"/>
      <c r="D29" s="418" t="n"/>
      <c r="E29" s="418" t="n"/>
    </row>
    <row r="30" ht="12.75" customHeight="1" s="486">
      <c r="A30" s="418" t="n"/>
      <c r="B30" s="418" t="n"/>
      <c r="C30" s="418" t="n"/>
      <c r="D30" s="418" t="n"/>
      <c r="E30" s="418" t="n"/>
    </row>
    <row r="31" ht="12.75" customHeight="1" s="486">
      <c r="A31" s="418" t="n"/>
      <c r="B31" s="418" t="n"/>
      <c r="C31" s="418" t="n"/>
      <c r="D31" s="418" t="n"/>
      <c r="E31" s="418" t="n"/>
    </row>
    <row r="32" ht="12.75" customHeight="1" s="486">
      <c r="A32" s="418" t="n"/>
      <c r="B32" s="418" t="n"/>
      <c r="C32" s="418" t="n"/>
      <c r="D32" s="418" t="n"/>
      <c r="E32" s="418" t="n"/>
    </row>
  </sheetData>
  <sheetProtection selectLockedCells="0" selectUnlockedCells="0" algorithmName="SHA-512" sheet="1" objects="1" insertRows="1" insertHyperlinks="1" autoFilter="1" scenarios="1" formatColumns="1" deleteColumns="1" insertColumns="1" pivotTables="1" deleteRows="1" formatCells="1" saltValue="qX5SgvP9k/gVihkuUXXL0Q==" formatRows="1" sort="1" spinCount="100000" hashValue="lqRIEYkBQ/IpkZ2ZgLXnb2wLsl+y+siJ4PmYkSR0+ucDXQ5roHvUtbb94j420PG+q6yifs3QTwZyxXVA5FC2Cw=="/>
  <mergeCells count="8">
    <mergeCell ref="A1:D1"/>
    <mergeCell ref="A5:C5"/>
    <mergeCell ref="A6:C6"/>
    <mergeCell ref="A17:C17"/>
    <mergeCell ref="A11:D11"/>
    <mergeCell ref="A15:C15"/>
    <mergeCell ref="A7:C7"/>
    <mergeCell ref="A16:C16"/>
  </mergeCells>
  <dataValidations xWindow="807" yWindow="250" count="4">
    <dataValidation sqref="A3:A4 A13:A14" showDropDown="0" showInputMessage="1" showErrorMessage="1" allowBlank="0" errorTitle="Data Error:" error="Please enter PIN in proper format.  " promptTitle="Alphanumeric:" prompt="Enter 11 digit alphanumeric values for PIN. " type="textLength">
      <formula1>11</formula1>
      <formula2>11</formula2>
    </dataValidation>
    <dataValidation sqref="B3:B4 B13:B14"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formula1>1</formula1>
      <formula2>50</formula2>
    </dataValidation>
    <dataValidation sqref="D3:D4 D13:D14"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C3:C4 C13:C14" showDropDown="0" showInputMessage="1" showErrorMessage="1" allowBlank="0" errorTitle="Data Error:" error="Please enter alphanumeric value of length greater than 4 characters and less than or equal to 20  characters." promptTitle="Numeric:" prompt="Enter alphanumeric value of length greater than 4 characters and less than or equal to 20  characters.Special characters like Space , - . / : are allowed." type="textLength">
      <formula1>4</formula1>
      <formula2>20</formula2>
    </dataValidation>
  </dataValidations>
  <pageMargins left="0.7" right="0.7" top="0.75" bottom="0.75" header="0.5118055555555555" footer="0.5118055555555555"/>
  <pageSetup orientation="portrait" paperSize="9" firstPageNumber="0" horizontalDpi="300" verticalDpi="300"/>
  <drawing r:id="rId1"/>
</worksheet>
</file>

<file path=xl/worksheets/sheet23.xml><?xml version="1.0" encoding="utf-8"?>
<worksheet xmlns:r="http://schemas.openxmlformats.org/officeDocument/2006/relationships" xmlns="http://schemas.openxmlformats.org/spreadsheetml/2006/main">
  <sheetPr codeName="Sheet15">
    <outlinePr summaryBelow="1" summaryRight="1"/>
    <pageSetUpPr/>
  </sheetPr>
  <dimension ref="A1:O15"/>
  <sheetViews>
    <sheetView topLeftCell="G1" workbookViewId="0">
      <selection activeCell="E3" sqref="E3"/>
    </sheetView>
  </sheetViews>
  <sheetFormatPr baseColWidth="10" defaultColWidth="0" defaultRowHeight="16" zeroHeight="1"/>
  <cols>
    <col width="27.6640625" customWidth="1" style="525" min="1" max="11"/>
    <col width="5" customWidth="1" style="525" min="12" max="13"/>
    <col width="7.1640625" customWidth="1" style="525" min="14" max="15"/>
    <col hidden="1" width="20" customWidth="1" style="525" min="16" max="16"/>
    <col hidden="1" width="20" customWidth="1" style="525" min="17" max="16384"/>
  </cols>
  <sheetData>
    <row r="1" ht="31.5" customHeight="1" s="486">
      <c r="A1" s="560" t="inlineStr">
        <is>
          <t>Section L : Computation of  Insurance Relief (Self)</t>
        </is>
      </c>
      <c r="B1" s="491" t="n"/>
      <c r="C1" s="491" t="n"/>
      <c r="D1" s="491" t="n"/>
      <c r="E1" s="491" t="n"/>
      <c r="F1" s="491" t="n"/>
      <c r="G1" s="241" t="n"/>
      <c r="H1" s="241" t="n"/>
      <c r="I1" s="241" t="n"/>
      <c r="J1" s="241" t="n"/>
      <c r="K1" s="242" t="n"/>
      <c r="L1" s="61" t="n"/>
      <c r="M1" s="61" t="n"/>
      <c r="N1" s="61" t="n"/>
      <c r="O1" s="61" t="n"/>
    </row>
    <row r="2" ht="51" customHeight="1" s="486">
      <c r="A2" s="34" t="inlineStr">
        <is>
          <t>PIN of Insurance Company</t>
        </is>
      </c>
      <c r="B2" s="34" t="inlineStr">
        <is>
          <t>Name of Insurance Company</t>
        </is>
      </c>
      <c r="C2" s="34" t="inlineStr">
        <is>
          <t>Type of policy 
(Life /Education /Health /Nhif)</t>
        </is>
      </c>
      <c r="D2" s="34" t="inlineStr">
        <is>
          <t>Insurance Policy Number/NHIF Membership Number</t>
        </is>
      </c>
      <c r="E2" s="34" t="inlineStr">
        <is>
          <t>Policy Holder (Self/Wife/Child)</t>
        </is>
      </c>
      <c r="F2" s="34" t="inlineStr">
        <is>
          <t>Age of Child</t>
        </is>
      </c>
      <c r="G2" s="34" t="inlineStr">
        <is>
          <t>Commencement Date</t>
        </is>
      </c>
      <c r="H2" s="34" t="inlineStr">
        <is>
          <t>Maturity Date</t>
        </is>
      </c>
      <c r="I2" s="34" t="inlineStr">
        <is>
          <t>Sum Assured (Ksh)</t>
        </is>
      </c>
      <c r="J2" s="34" t="inlineStr">
        <is>
          <t>Annual Premium Paid (Ksh)
(A)</t>
        </is>
      </c>
      <c r="K2" s="34" t="inlineStr">
        <is>
          <t>Amount of Insurance Relief (Ksh)
(B) = (A* 15%)</t>
        </is>
      </c>
      <c r="L2" s="327" t="inlineStr">
        <is>
          <t>purposeCode</t>
        </is>
      </c>
      <c r="M2" s="327" t="inlineStr">
        <is>
          <t>policyHolder</t>
        </is>
      </c>
      <c r="N2" s="327" t="inlineStr">
        <is>
          <t>strSpouseCode</t>
        </is>
      </c>
      <c r="O2" s="327" t="n"/>
    </row>
    <row r="3" ht="17" customHeight="1" s="486">
      <c r="A3" s="81" t="inlineStr">
        <is>
          <t>P051099232D</t>
        </is>
      </c>
      <c r="B3" s="81" t="inlineStr">
        <is>
          <t>National Hospital Insurance Fund</t>
        </is>
      </c>
      <c r="C3" s="81" t="inlineStr">
        <is>
          <t>Health</t>
        </is>
      </c>
      <c r="D3" s="95" t="inlineStr">
        <is>
          <t>12345</t>
        </is>
      </c>
      <c r="E3" s="96" t="inlineStr">
        <is>
          <t>Self</t>
        </is>
      </c>
      <c r="F3" s="64" t="n"/>
      <c r="G3" s="257" t="inlineStr">
        <is>
          <t>01/01/2023</t>
        </is>
      </c>
      <c r="H3" s="257" t="inlineStr">
        <is>
          <t>31/12/2023</t>
        </is>
      </c>
      <c r="I3" s="186" t="n">
        <v>12000</v>
      </c>
      <c r="J3" s="96" t="n">
        <v>12000</v>
      </c>
      <c r="K3" s="97">
        <f>IF(J3&lt;&gt;"",J3*15%,"")</f>
        <v/>
      </c>
      <c r="L3" s="327">
        <f>IF(ISERROR(LOOKUP(C3,PurposeOfPolicy,PolicyCode)),"",IF(SecA.RtnYear&gt;2021,LOOKUP(C3,PurposeOfPolicy2022,PolicyCode2022),LOOKUP(C3,PurposeOfPolicy,PolicyCode)))</f>
        <v/>
      </c>
      <c r="M3" s="327">
        <f>IF(ISERROR(LOOKUP(E3,PolicyHolder,PolicyHolderCode)),"",LOOKUP(E3,PolicyHolder,PolicyHolderCode))</f>
        <v/>
      </c>
      <c r="N3" s="327">
        <f>IF(K3="","",CONCATENATE("H"))</f>
        <v/>
      </c>
      <c r="O3" s="327">
        <f>CONCATENATE(A3,C3,D3)</f>
        <v/>
      </c>
    </row>
    <row r="4" ht="17" customHeight="1" s="486">
      <c r="A4" s="81" t="n"/>
      <c r="B4" s="81" t="n"/>
      <c r="C4" s="81" t="n"/>
      <c r="D4" s="95" t="n"/>
      <c r="E4" s="96" t="n"/>
      <c r="F4" s="55" t="n"/>
      <c r="G4" s="257" t="n"/>
      <c r="H4" s="257" t="n"/>
      <c r="I4" s="186" t="n"/>
      <c r="J4" s="96" t="n"/>
      <c r="K4" s="97">
        <f>IF(J4&lt;&gt;"",J4*15%,"")</f>
        <v/>
      </c>
      <c r="L4" s="327">
        <f>IF(ISERROR(LOOKUP(C4,PurposeOfPolicy,PolicyCode)),"",IF(SecA.RtnYear&gt;2021,LOOKUP(C4,PurposeOfPolicy2022,PolicyCode2022),LOOKUP(C4,PurposeOfPolicy,PolicyCode)))</f>
        <v/>
      </c>
      <c r="M4" s="327">
        <f>IF(ISERROR(LOOKUP(E4,PolicyHolder,PolicyHolderCode)),"",LOOKUP(E4,PolicyHolder,PolicyHolderCode))</f>
        <v/>
      </c>
      <c r="N4" s="327">
        <f>IF(K4="","",CONCATENATE("H"))</f>
        <v/>
      </c>
      <c r="O4" s="327">
        <f>CONCATENATE(A4,C4,D4)</f>
        <v/>
      </c>
    </row>
    <row r="5">
      <c r="A5" s="568" t="inlineStr">
        <is>
          <t>Total</t>
        </is>
      </c>
      <c r="B5" s="491" t="n"/>
      <c r="C5" s="491" t="n"/>
      <c r="D5" s="491" t="n"/>
      <c r="E5" s="491" t="n"/>
      <c r="F5" s="491" t="n"/>
      <c r="G5" s="491" t="n"/>
      <c r="H5" s="491" t="n"/>
      <c r="I5" s="491" t="n"/>
      <c r="J5" s="481" t="n"/>
      <c r="K5" s="82">
        <f>SUM(K3:OFFSET(InsReliefDtls.ListSTO,-1,0))</f>
        <v/>
      </c>
      <c r="L5" s="327" t="n"/>
      <c r="M5" s="327" t="n"/>
      <c r="N5" s="327" t="n"/>
      <c r="O5" s="327" t="n"/>
    </row>
    <row r="6" ht="16.5" customHeight="1" s="486">
      <c r="A6" s="66" t="n"/>
      <c r="B6" s="66" t="n"/>
      <c r="C6" s="66" t="n"/>
      <c r="D6" s="66" t="n"/>
      <c r="E6" s="66" t="n"/>
      <c r="F6" s="66" t="n"/>
      <c r="G6" s="66" t="n"/>
      <c r="H6" s="66" t="n"/>
      <c r="I6" s="66" t="n"/>
      <c r="J6" s="66" t="n"/>
      <c r="K6" s="66" t="n"/>
      <c r="L6" s="327" t="n"/>
      <c r="M6" s="327" t="n"/>
      <c r="N6" s="327" t="n"/>
      <c r="O6" s="327" t="n"/>
    </row>
    <row r="7" ht="16.5" customHeight="1" s="486">
      <c r="A7" s="66" t="n"/>
      <c r="B7" s="66" t="n"/>
      <c r="C7" s="66" t="n"/>
      <c r="D7" s="66" t="n"/>
      <c r="E7" s="66" t="n"/>
      <c r="F7" s="66" t="n"/>
      <c r="G7" s="66" t="n"/>
      <c r="H7" s="66" t="n"/>
      <c r="I7" s="66" t="n"/>
      <c r="J7" s="66" t="n"/>
      <c r="K7" s="66" t="n"/>
      <c r="L7" s="327" t="n"/>
      <c r="M7" s="327" t="n"/>
      <c r="N7" s="327" t="n"/>
      <c r="O7" s="327" t="n"/>
    </row>
    <row r="8" ht="16.5" customHeight="1" s="486">
      <c r="A8" s="66" t="n"/>
      <c r="B8" s="66" t="n"/>
      <c r="C8" s="66" t="n"/>
      <c r="D8" s="66" t="n"/>
      <c r="E8" s="66" t="n"/>
      <c r="F8" s="66" t="n"/>
      <c r="G8" s="66" t="n"/>
      <c r="H8" s="66" t="n"/>
      <c r="I8" s="66" t="n"/>
      <c r="J8" s="66" t="n"/>
      <c r="K8" s="66" t="n"/>
      <c r="L8" s="61" t="n"/>
      <c r="M8" s="61" t="n"/>
      <c r="N8" s="61" t="n"/>
      <c r="O8" s="61" t="n"/>
    </row>
    <row r="9" ht="31.5" customHeight="1" s="486">
      <c r="A9" s="560" t="inlineStr">
        <is>
          <t>Section L : Computation of  Insurance Relief (Wife)</t>
        </is>
      </c>
      <c r="B9" s="491" t="n"/>
      <c r="C9" s="491" t="n"/>
      <c r="D9" s="491" t="n"/>
      <c r="E9" s="491" t="n"/>
      <c r="F9" s="491" t="n"/>
      <c r="G9" s="241" t="n"/>
      <c r="H9" s="241" t="n"/>
      <c r="I9" s="241" t="n"/>
      <c r="J9" s="241" t="n"/>
      <c r="K9" s="242" t="n"/>
      <c r="L9" s="61" t="n"/>
      <c r="M9" s="61" t="n"/>
      <c r="N9" s="61" t="n"/>
      <c r="O9" s="61" t="n"/>
    </row>
    <row r="10" ht="51" customHeight="1" s="486">
      <c r="A10" s="34" t="inlineStr">
        <is>
          <t>PIN of Insurance Company</t>
        </is>
      </c>
      <c r="B10" s="34" t="inlineStr">
        <is>
          <t>Name of Insurance Company</t>
        </is>
      </c>
      <c r="C10" s="34" t="inlineStr">
        <is>
          <t>Type of policy (Life/Education/ Health)</t>
        </is>
      </c>
      <c r="D10" s="34" t="inlineStr">
        <is>
          <t>Insurance Policy Number</t>
        </is>
      </c>
      <c r="E10" s="34" t="inlineStr">
        <is>
          <t>Policy Holder (Self/Wife/Child)</t>
        </is>
      </c>
      <c r="F10" s="34" t="inlineStr">
        <is>
          <t>Age of Child</t>
        </is>
      </c>
      <c r="G10" s="34" t="inlineStr">
        <is>
          <t>Commencement Date</t>
        </is>
      </c>
      <c r="H10" s="34" t="inlineStr">
        <is>
          <t>Maturity Date</t>
        </is>
      </c>
      <c r="I10" s="34" t="inlineStr">
        <is>
          <t>Sum Assured (Ksh)</t>
        </is>
      </c>
      <c r="J10" s="34" t="inlineStr">
        <is>
          <t>Annual Premium Paid (Ksh)
(A)</t>
        </is>
      </c>
      <c r="K10" s="34" t="inlineStr">
        <is>
          <t>Amount of Insurance Relief (Ksh)
(B) = (A* 15%)</t>
        </is>
      </c>
      <c r="L10" s="61" t="inlineStr">
        <is>
          <t>purposeCode</t>
        </is>
      </c>
      <c r="M10" s="61" t="inlineStr">
        <is>
          <t>policyHolder</t>
        </is>
      </c>
      <c r="N10" s="61" t="inlineStr">
        <is>
          <t>strSpouseCode</t>
        </is>
      </c>
      <c r="O10" s="61" t="n"/>
    </row>
    <row r="11">
      <c r="A11" s="409" t="n"/>
      <c r="B11" s="409" t="n"/>
      <c r="C11" s="409" t="n"/>
      <c r="D11" s="442" t="n"/>
      <c r="E11" s="97" t="n"/>
      <c r="F11" s="64" t="n"/>
      <c r="G11" s="456" t="n"/>
      <c r="H11" s="456" t="n"/>
      <c r="I11" s="97" t="n"/>
      <c r="J11" s="97" t="n"/>
      <c r="K11" s="97">
        <f>IF(J11&lt;&gt;"",J11*15%,"")</f>
        <v/>
      </c>
      <c r="L11" s="61">
        <f>IF(ISERROR(LOOKUP(C11,PurposeOfPolicy,PolicyCode)),"",LOOKUP(C11,PurposeOfPolicy,PolicyCode))</f>
        <v/>
      </c>
      <c r="M11" s="61">
        <f>IF(ISERROR(LOOKUP(E11,PolicyHolder,PolicyHolderCode)),"",LOOKUP(E11,PolicyHolder,PolicyHolderCode))</f>
        <v/>
      </c>
      <c r="N11" s="61">
        <f>IF(K11="","",CONCATENATE("W"))</f>
        <v/>
      </c>
      <c r="O11" s="61">
        <f>CONCATENATE(A11,C11,D11)</f>
        <v/>
      </c>
    </row>
    <row r="12">
      <c r="A12" s="409" t="n"/>
      <c r="B12" s="409" t="n"/>
      <c r="C12" s="409" t="n"/>
      <c r="D12" s="442" t="n"/>
      <c r="E12" s="97" t="n"/>
      <c r="F12" s="64" t="n"/>
      <c r="G12" s="456" t="n"/>
      <c r="H12" s="456" t="n"/>
      <c r="I12" s="97" t="n"/>
      <c r="J12" s="97" t="n"/>
      <c r="K12" s="97">
        <f>IF(J12&lt;&gt;"",J12*15%,"")</f>
        <v/>
      </c>
      <c r="L12" s="61">
        <f>IF(ISERROR(LOOKUP(C12,PurposeOfPolicy,PolicyCode)),"",LOOKUP(C12,PurposeOfPolicy,PolicyCode))</f>
        <v/>
      </c>
      <c r="M12" s="61">
        <f>IF(ISERROR(LOOKUP(E12,PolicyHolder,PolicyHolderCode)),"",LOOKUP(E12,PolicyHolder,PolicyHolderCode))</f>
        <v/>
      </c>
      <c r="N12" s="61">
        <f>IF(K12="","",CONCATENATE("W"))</f>
        <v/>
      </c>
      <c r="O12" s="61">
        <f>CONCATENATE(A12,C12,D12)</f>
        <v/>
      </c>
    </row>
    <row r="13">
      <c r="A13" s="568" t="inlineStr">
        <is>
          <t>Total</t>
        </is>
      </c>
      <c r="B13" s="491" t="n"/>
      <c r="C13" s="491" t="n"/>
      <c r="D13" s="491" t="n"/>
      <c r="E13" s="491" t="n"/>
      <c r="F13" s="491" t="n"/>
      <c r="G13" s="491" t="n"/>
      <c r="H13" s="491" t="n"/>
      <c r="I13" s="491" t="n"/>
      <c r="J13" s="481" t="n"/>
      <c r="K13" s="82">
        <f>SUM(K11:OFFSET(InsReliefDtls.ListWTO,-1,0))</f>
        <v/>
      </c>
      <c r="L13" s="61" t="n"/>
      <c r="M13" s="61" t="n"/>
      <c r="N13" s="61" t="n"/>
      <c r="O13" s="61" t="n"/>
    </row>
    <row r="14" ht="37.5" customHeight="1" s="486">
      <c r="A14" s="66" t="n"/>
      <c r="B14" s="66" t="n"/>
      <c r="C14" s="66" t="n"/>
      <c r="D14" s="66" t="n"/>
      <c r="E14" s="66" t="n"/>
      <c r="F14" s="66" t="n"/>
      <c r="G14" s="66" t="n"/>
      <c r="H14" s="66" t="n"/>
      <c r="I14" s="66" t="n"/>
      <c r="J14" s="66" t="n"/>
      <c r="K14" s="66" t="n"/>
      <c r="L14" s="61" t="n"/>
      <c r="M14" s="61" t="n"/>
      <c r="N14" s="61" t="n"/>
      <c r="O14" s="61" t="n"/>
    </row>
    <row r="15" ht="37.5" customHeight="1" s="486">
      <c r="A15" s="66" t="n"/>
      <c r="B15" s="66" t="n"/>
      <c r="C15" s="66" t="n"/>
      <c r="D15" s="66" t="n"/>
      <c r="E15" s="66" t="n"/>
      <c r="F15" s="66" t="n"/>
      <c r="G15" s="66" t="n"/>
      <c r="H15" s="66" t="n"/>
      <c r="I15" s="66" t="n"/>
      <c r="J15" s="66" t="n"/>
      <c r="K15" s="66" t="n"/>
      <c r="L15" s="61" t="n"/>
      <c r="M15" s="61" t="n"/>
      <c r="N15" s="61" t="n"/>
      <c r="O15" s="61" t="n"/>
    </row>
  </sheetData>
  <sheetProtection selectLockedCells="0" selectUnlockedCells="0" algorithmName="SHA-512" sheet="1" objects="1" insertRows="1" insertHyperlinks="1" autoFilter="1" scenarios="1" formatColumns="1" deleteColumns="1" insertColumns="1" pivotTables="1" deleteRows="1" formatCells="1" saltValue="Is1q81W9QgsiBjKVKWQ+Pg==" formatRows="1" sort="1" spinCount="100000" hashValue="4ZoOdCb/SvLCm443pkKVV/Mp23h9/GqdKCP4B2XFS6EUNKDvi9+L6SpWRVnTWREckpoa3SN0j0taJuLl2M9JIw=="/>
  <mergeCells count="4">
    <mergeCell ref="A5:J5"/>
    <mergeCell ref="A13:J13"/>
    <mergeCell ref="A1:F1"/>
    <mergeCell ref="A9:F9"/>
  </mergeCells>
  <dataValidations count="9">
    <dataValidation sqref="A3:A4 A11:A12" showDropDown="0" showInputMessage="1" showErrorMessage="1" allowBlank="0" errorTitle="Data Error:" error="Please enter PIN in proper format.  " promptTitle="Alphanumeric:" prompt="Enter 11 digit alphanumeric values for PIN. " type="textLength">
      <formula1>11</formula1>
      <formula2>11</formula2>
    </dataValidation>
    <dataValidation sqref="B3:B4 B11:B12"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formula1>1</formula1>
      <formula2>50</formula2>
    </dataValidation>
    <dataValidation sqref="D3:D4 D11:D12" showDropDown="0" showInputMessage="1" showErrorMessage="1" allowBlank="0" errorTitle="Data Error:" error="Please enter alphanumeric value of length less than or equal to 20  characters." promptTitle="Alphanumeric:" prompt="Enter alphanumeric value of length less than or equal to 20  characters.Special characters like Space , - . / : are allowed." type="textLength">
      <formula1>1</formula1>
      <formula2>20</formula2>
    </dataValidation>
    <dataValidation sqref="E3:E4 E11:E12" showDropDown="0" showInputMessage="1" showErrorMessage="1" allowBlank="0" errorTitle="Data Error:" error="Please select data from DropDown Only. " promptTitle="List:" prompt="Select data from DropDown List. " type="list">
      <formula1>PolicyHolder</formula1>
    </dataValidation>
    <dataValidation sqref="G3:H4 G11:H12" showDropDown="0" showInputMessage="1" showErrorMessage="0" allowBlank="0" errorTitle="Date" error="Please enter date value in dd/mm/yyyy format." promptTitle="Date:" prompt="Enter date value in dd/mm/yyyy format."/>
    <dataValidation sqref="I3:J4 I11:J12"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F3:F4 F11:F12" showDropDown="0" showInputMessage="1" showErrorMessage="1" allowBlank="0" errorTitle="Data Error:" error="Please Enter age of child between 1 to 18 Years." promptTitle="Numeric:" prompt="Enter age of child between 1 to 18 Years." type="whole">
      <formula1>1</formula1>
      <formula2>18</formula2>
    </dataValidation>
    <dataValidation sqref="C11:C12" showDropDown="0" showInputMessage="1" showErrorMessage="1" allowBlank="0" errorTitle="Data Error:" error="Please select data from DropDown Only. " promptTitle="List:" prompt="Select data from DropDown List. " type="list">
      <formula1>PurposeOfPolicy</formula1>
    </dataValidation>
    <dataValidation sqref="C3:C4" showDropDown="0" showInputMessage="1" showErrorMessage="1" allowBlank="0" errorTitle="Data Error:" error="Please select data from DropDown Only. " promptTitle="List:" prompt="Select data from DropDown List." type="list">
      <formula1>IF(SecA.RtnYear&gt;2021,PurposeOfPolicy2022,PurposeOfPolicy)</formula1>
    </dataValidation>
  </dataValidations>
  <pageMargins left="0.7" right="0.7" top="0.75" bottom="0.75" header="0.5118055555555555" footer="0.5118055555555555"/>
  <pageSetup orientation="portrait" paperSize="9" scale="50" firstPageNumber="0" horizontalDpi="300" verticalDpi="300"/>
  <colBreaks count="1" manualBreakCount="1">
    <brk id="13" min="0" max="1048575" man="1"/>
  </colBreaks>
  <drawing r:id="rId1"/>
</worksheet>
</file>

<file path=xl/worksheets/sheet24.xml><?xml version="1.0" encoding="utf-8"?>
<worksheet xmlns:r="http://schemas.openxmlformats.org/officeDocument/2006/relationships" xmlns="http://schemas.openxmlformats.org/spreadsheetml/2006/main">
  <sheetPr codeName="Sheet11">
    <outlinePr summaryBelow="1" summaryRight="1"/>
    <pageSetUpPr/>
  </sheetPr>
  <dimension ref="A1:X17"/>
  <sheetViews>
    <sheetView topLeftCell="A2" workbookViewId="0">
      <selection activeCell="D3" sqref="D3"/>
    </sheetView>
  </sheetViews>
  <sheetFormatPr baseColWidth="10" defaultColWidth="0" defaultRowHeight="16" zeroHeight="1"/>
  <cols>
    <col width="27.6640625" customWidth="1" style="66" min="1" max="6"/>
    <col width="14.33203125" customWidth="1" style="98" min="7" max="7"/>
    <col hidden="1" width="13" customWidth="1" style="525" min="8" max="8"/>
    <col hidden="1" width="13" customWidth="1" style="525" min="9" max="16384"/>
  </cols>
  <sheetData>
    <row r="1" ht="31.5" customFormat="1" customHeight="1" s="537">
      <c r="A1" s="565" t="inlineStr">
        <is>
          <t>Section M : Details of PAYE Deducted at Source from Salary (Self)</t>
        </is>
      </c>
      <c r="B1" s="474" t="n"/>
      <c r="C1" s="474" t="n"/>
      <c r="D1" s="474" t="n"/>
      <c r="E1" s="474" t="n"/>
      <c r="F1" s="475" t="n"/>
      <c r="G1" s="98" t="n"/>
    </row>
    <row r="2" ht="68" customHeight="1" s="486">
      <c r="A2" s="34" t="inlineStr">
        <is>
          <t>PIN of Employer</t>
        </is>
      </c>
      <c r="B2" s="34" t="inlineStr">
        <is>
          <t>Name of Employer</t>
        </is>
      </c>
      <c r="C2" s="34" t="inlineStr">
        <is>
          <t>Taxable Salary (Ksh)</t>
        </is>
      </c>
      <c r="D2" s="34" t="inlineStr">
        <is>
          <t>Tax Payable on Taxable Salary (Ksh)
(A)</t>
        </is>
      </c>
      <c r="E2" s="34" t="inlineStr">
        <is>
          <t>Amount of Tax Deducted(PAYE) (Ksh)
(B)</t>
        </is>
      </c>
      <c r="F2" s="34" t="inlineStr">
        <is>
          <t>Amount of Tax Payable or Refundable 
(PAYE) (Ksh)
(C) = (A-B)</t>
        </is>
      </c>
      <c r="G2" s="98" t="inlineStr">
        <is>
          <t>spouse code</t>
        </is>
      </c>
      <c r="H2" s="18" t="n"/>
      <c r="I2" s="19" t="n"/>
      <c r="J2" s="19" t="n"/>
      <c r="K2" s="19" t="n"/>
      <c r="L2" s="19" t="n"/>
      <c r="M2" s="19" t="n"/>
      <c r="N2" s="19" t="n"/>
      <c r="O2" s="19" t="n"/>
      <c r="P2" s="19" t="n"/>
      <c r="Q2" s="19" t="n"/>
      <c r="R2" s="19" t="n"/>
      <c r="S2" s="19" t="n"/>
      <c r="T2" s="19" t="n"/>
      <c r="U2" s="19" t="n"/>
      <c r="V2" s="19" t="n"/>
      <c r="W2" s="19" t="n"/>
      <c r="X2" s="19" t="n"/>
    </row>
    <row r="3" ht="17" customHeight="1" s="486">
      <c r="A3" s="30" t="inlineStr">
        <is>
          <t>P051923300V</t>
        </is>
      </c>
      <c r="B3" s="28" t="inlineStr">
        <is>
          <t>CERTIFICATE</t>
        </is>
      </c>
      <c r="C3" s="31" t="n">
        <v>489270.75</v>
      </c>
      <c r="D3" s="31" t="n">
        <v>82381.5</v>
      </c>
      <c r="E3" s="31" t="n">
        <v>53581.5</v>
      </c>
      <c r="F3" s="22">
        <f>IF(D3="","",IF(E3="","",ROUND(D3,2)-ROUND(E3,2)))</f>
        <v/>
      </c>
      <c r="G3" s="98">
        <f>IF(F3="","",CONCATENATE("H"))</f>
        <v/>
      </c>
    </row>
    <row r="4" ht="17" customHeight="1" s="486">
      <c r="A4" s="30" t="n"/>
      <c r="B4" s="28" t="n"/>
      <c r="C4" s="31" t="n"/>
      <c r="D4" s="31" t="n"/>
      <c r="E4" s="31" t="n"/>
      <c r="F4" s="22">
        <f>IF(D4="","",IF(E4="","",ROUND(D4,2)-ROUND(E4,2)))</f>
        <v/>
      </c>
      <c r="G4" s="98">
        <f>IF(F4="","",CONCATENATE("H"))</f>
        <v/>
      </c>
    </row>
    <row r="5" ht="16.5" customHeight="1" s="486">
      <c r="A5" s="507" t="inlineStr">
        <is>
          <t>Total</t>
        </is>
      </c>
      <c r="B5" s="474" t="n"/>
      <c r="C5" s="474" t="n"/>
      <c r="D5" s="475" t="n"/>
      <c r="E5" s="99">
        <f>SUM(E3:OFFSET(PayeDed.ListSTO,-1,0))</f>
        <v/>
      </c>
      <c r="F5" s="100" t="n"/>
    </row>
    <row r="6" customFormat="1" s="101">
      <c r="G6" s="98" t="n"/>
    </row>
    <row r="7" customFormat="1" s="101">
      <c r="G7" s="98" t="n"/>
    </row>
    <row r="8" customFormat="1" s="101">
      <c r="G8" s="98" t="n"/>
    </row>
    <row r="9" ht="31.5" customFormat="1" customHeight="1" s="537">
      <c r="A9" s="565" t="inlineStr">
        <is>
          <t>Section M : Details of PAYE Deducted at Source from Salary (Wife)</t>
        </is>
      </c>
      <c r="B9" s="474" t="n"/>
      <c r="C9" s="474" t="n"/>
      <c r="D9" s="474" t="n"/>
      <c r="E9" s="474" t="n"/>
      <c r="F9" s="475" t="n"/>
      <c r="G9" s="98" t="n"/>
    </row>
    <row r="10" ht="68" customHeight="1" s="486">
      <c r="A10" s="34" t="inlineStr">
        <is>
          <t>PIN of Employer</t>
        </is>
      </c>
      <c r="B10" s="34" t="inlineStr">
        <is>
          <t>Name of Employer</t>
        </is>
      </c>
      <c r="C10" s="34" t="inlineStr">
        <is>
          <t>Taxable Salary (Ksh)</t>
        </is>
      </c>
      <c r="D10" s="34" t="inlineStr">
        <is>
          <t>Tax Payable on Taxable Salary (Ksh)
(A)</t>
        </is>
      </c>
      <c r="E10" s="34" t="inlineStr">
        <is>
          <t>Amount of Tax Deducted 
(PAYE) (Ksh)
(B)</t>
        </is>
      </c>
      <c r="F10" s="34" t="inlineStr">
        <is>
          <t>Amount of Tax Payable or Refundable 
(PAYE) (Ksh)
(C) = (A-B)</t>
        </is>
      </c>
      <c r="G10" s="98" t="inlineStr">
        <is>
          <t>spouse code</t>
        </is>
      </c>
      <c r="H10" s="18" t="n"/>
      <c r="I10" s="19" t="n"/>
      <c r="J10" s="19" t="n"/>
      <c r="K10" s="19" t="n"/>
      <c r="L10" s="19" t="n"/>
      <c r="M10" s="19" t="n"/>
      <c r="N10" s="19" t="n"/>
      <c r="O10" s="19" t="n"/>
      <c r="P10" s="19" t="n"/>
      <c r="Q10" s="19" t="n"/>
      <c r="R10" s="19" t="n"/>
      <c r="S10" s="19" t="n"/>
      <c r="T10" s="19" t="n"/>
      <c r="U10" s="19" t="n"/>
      <c r="V10" s="19" t="n"/>
      <c r="W10" s="19" t="n"/>
      <c r="X10" s="19" t="n"/>
    </row>
    <row r="11">
      <c r="A11" s="587" t="n"/>
      <c r="B11" s="460" t="n"/>
      <c r="C11" s="22" t="n"/>
      <c r="D11" s="22" t="n"/>
      <c r="E11" s="22" t="n"/>
      <c r="F11" s="22">
        <f>IF(D11="","",IF(E11="","",ROUND(D11,2)-ROUND(E11,2)))</f>
        <v/>
      </c>
      <c r="G11" s="98">
        <f>IF(F11="","",CONCATENATE("W"))</f>
        <v/>
      </c>
    </row>
    <row r="12">
      <c r="A12" s="587" t="n"/>
      <c r="B12" s="460" t="n"/>
      <c r="C12" s="22" t="n"/>
      <c r="D12" s="22" t="n"/>
      <c r="E12" s="22" t="n"/>
      <c r="F12" s="22">
        <f>IF(D12="","",IF(E12="","",ROUND(D12,2)-ROUND(E12,2)))</f>
        <v/>
      </c>
      <c r="G12" s="98">
        <f>IF(F12="","",CONCATENATE("W"))</f>
        <v/>
      </c>
    </row>
    <row r="13" ht="16.5" customHeight="1" s="486">
      <c r="A13" s="507" t="inlineStr">
        <is>
          <t>Total</t>
        </is>
      </c>
      <c r="B13" s="474" t="n"/>
      <c r="C13" s="474" t="n"/>
      <c r="D13" s="475" t="n"/>
      <c r="E13" s="99">
        <f>SUM(E11:OFFSET(PayeDed.ListWTO,-1,0))</f>
        <v/>
      </c>
      <c r="F13" s="100" t="n"/>
    </row>
    <row r="14" ht="37.5" customFormat="1" customHeight="1" s="101">
      <c r="G14" s="98" t="n"/>
    </row>
    <row r="15" ht="37.5" customFormat="1" customHeight="1" s="101">
      <c r="G15" s="98" t="n"/>
    </row>
    <row r="16" hidden="1" ht="16.5" customFormat="1" customHeight="1" s="101">
      <c r="G16" s="98" t="n"/>
    </row>
    <row r="17" hidden="1" ht="16.5" customFormat="1" customHeight="1" s="101">
      <c r="G17" s="98" t="n"/>
    </row>
  </sheetData>
  <sheetProtection selectLockedCells="0" selectUnlockedCells="0" algorithmName="SHA-512" sheet="1" objects="1" insertRows="1" insertHyperlinks="1" autoFilter="1" scenarios="1" formatColumns="1" deleteColumns="1" insertColumns="1" pivotTables="1" deleteRows="1" formatCells="1" saltValue="t4/DmlR9+3DP38hRDuBSZg==" formatRows="1" sort="1" spinCount="100000" hashValue="Gl1CdMdqozLW61D7kxZp1YAfcTf6ujx4GbF+B1Lux/G7a8nmBAUsbNyJ56aECR5h6vbnUPBUexNWhtTsh36oSw=="/>
  <mergeCells count="4">
    <mergeCell ref="A5:D5"/>
    <mergeCell ref="A1:F1"/>
    <mergeCell ref="A13:D13"/>
    <mergeCell ref="A9:F9"/>
  </mergeCells>
  <dataValidations count="5">
    <dataValidation sqref="F3:F4 F11:F12" showDropDown="0" showInputMessage="1" showErrorMessage="1" allowBlank="0" errorTitle="Data Error :" promptTitle="Numeric">
      <formula1>0</formula1>
      <formula2>0</formula2>
    </dataValidation>
    <dataValidation sqref="A11:A12" showDropDown="0" showInputMessage="1" showErrorMessage="1" allowBlank="0" errorTitle="Data Error:" error="Select Data from Drop Down list only." promptTitle="List:" prompt="Select Data from Drop Down list." type="list">
      <formula1>PINofEmployerW</formula1>
    </dataValidation>
    <dataValidation sqref="C3:E4 C11:E12"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B3:B4 B11:B12"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formula1>1</formula1>
      <formula2>50</formula2>
    </dataValidation>
    <dataValidation sqref="A3:A4" showDropDown="0" showInputMessage="1" showErrorMessage="1" allowBlank="0" errorTitle="Data Error:" error="Select Data from Drop Down list only." promptTitle="List:" prompt="Select Data from Drop Down list" type="list">
      <formula1>PINofEmployerS</formula1>
    </dataValidation>
  </dataValidations>
  <pageMargins left="0.7" right="0.7" top="0.75" bottom="0.75" header="0.5118055555555555" footer="0.5118055555555555"/>
  <pageSetup orientation="portrait" paperSize="9" firstPageNumber="0" horizontalDpi="300" verticalDpi="300"/>
  <drawing r:id="rId1"/>
</worksheet>
</file>

<file path=xl/worksheets/sheet25.xml><?xml version="1.0" encoding="utf-8"?>
<worksheet xmlns:r="http://schemas.openxmlformats.org/officeDocument/2006/relationships" xmlns="http://schemas.openxmlformats.org/spreadsheetml/2006/main">
  <sheetPr codeName="Sheet4">
    <outlinePr summaryBelow="1" summaryRight="1"/>
    <pageSetUpPr/>
  </sheetPr>
  <dimension ref="A1:U17"/>
  <sheetViews>
    <sheetView zoomScaleNormal="100" zoomScaleSheetLayoutView="100" workbookViewId="0">
      <selection activeCell="A3" sqref="A3"/>
    </sheetView>
  </sheetViews>
  <sheetFormatPr baseColWidth="10" defaultColWidth="0" defaultRowHeight="16" zeroHeight="1"/>
  <cols>
    <col width="27.6640625" customWidth="1" style="525" min="1" max="3"/>
    <col width="7.1640625" customWidth="1" style="525" min="4" max="4"/>
    <col width="7.1640625" customWidth="1" style="114" min="5" max="5"/>
    <col hidden="1" width="16.5" customWidth="1" style="525" min="6" max="6"/>
    <col hidden="1" width="16.5" customWidth="1" style="525" min="7" max="16384"/>
  </cols>
  <sheetData>
    <row r="1" ht="31.5" customFormat="1" customHeight="1" s="66">
      <c r="A1" s="565" t="inlineStr">
        <is>
          <t>Section N : Details of Installment Tax Paid (Self)</t>
        </is>
      </c>
      <c r="B1" s="474" t="n"/>
      <c r="C1" s="475" t="n"/>
      <c r="D1" s="61" t="n"/>
      <c r="E1" s="61" t="n"/>
    </row>
    <row r="2" ht="32.25" customHeight="1" s="486">
      <c r="A2" s="34" t="inlineStr">
        <is>
          <t>Payment Registration Number</t>
        </is>
      </c>
      <c r="B2" s="34" t="inlineStr">
        <is>
          <t>Date of Deposit</t>
        </is>
      </c>
      <c r="C2" s="34" t="inlineStr">
        <is>
          <t>Amount of Installment Tax Paid (Ksh)</t>
        </is>
      </c>
      <c r="D2" s="61" t="inlineStr">
        <is>
          <t>Schedule code</t>
        </is>
      </c>
      <c r="E2" s="61" t="inlineStr">
        <is>
          <t>spouse code</t>
        </is>
      </c>
      <c r="F2" s="19" t="n"/>
      <c r="G2" s="19" t="n"/>
      <c r="H2" s="19" t="n"/>
      <c r="I2" s="19" t="n"/>
      <c r="J2" s="19" t="n"/>
      <c r="K2" s="19" t="n"/>
      <c r="L2" s="19" t="n"/>
      <c r="M2" s="19" t="n"/>
      <c r="N2" s="19" t="n"/>
      <c r="O2" s="19" t="n"/>
      <c r="P2" s="19" t="n"/>
      <c r="Q2" s="19" t="n"/>
      <c r="R2" s="19" t="n"/>
      <c r="S2" s="19" t="n"/>
      <c r="T2" s="19" t="n"/>
      <c r="U2" s="19" t="n"/>
    </row>
    <row r="3">
      <c r="A3" s="255" t="n"/>
      <c r="B3" s="170" t="n"/>
      <c r="C3" s="111" t="n"/>
      <c r="D3" s="61">
        <f>IF(COUNTBLANK(A3:C3)=3,"",CONCATENATE("INSTPRNH"))</f>
        <v/>
      </c>
      <c r="E3" s="61">
        <f>IF(COUNTBLANK(A3:C3)=3,"",CONCATENATE("H"))</f>
        <v/>
      </c>
    </row>
    <row r="4">
      <c r="A4" s="255" t="n"/>
      <c r="B4" s="170" t="n"/>
      <c r="C4" s="112" t="n"/>
      <c r="D4" s="61">
        <f>IF(COUNTBLANK(A4:C4)=3,"",CONCATENATE("INSTPRNH"))</f>
        <v/>
      </c>
      <c r="E4" s="61">
        <f>IF(COUNTBLANK(A4:C4)=3,"",CONCATENATE("H"))</f>
        <v/>
      </c>
    </row>
    <row r="5">
      <c r="A5" s="569" t="inlineStr">
        <is>
          <t>Total</t>
        </is>
      </c>
      <c r="B5" s="474" t="n"/>
      <c r="C5" s="113">
        <f>SUM(C3:OFFSET(InstallmentTax.ListSTO,-1,0))</f>
        <v/>
      </c>
      <c r="D5" s="61" t="n"/>
      <c r="E5" s="61" t="n"/>
    </row>
    <row r="6" ht="18.75" customHeight="1" s="486">
      <c r="A6" s="66" t="n"/>
      <c r="B6" s="66" t="n"/>
      <c r="C6" s="66" t="n"/>
      <c r="D6" s="61" t="n"/>
      <c r="E6" s="61" t="n"/>
    </row>
    <row r="7" ht="18.75" customHeight="1" s="486">
      <c r="A7" s="66" t="n"/>
      <c r="B7" s="66" t="n"/>
      <c r="C7" s="66" t="n"/>
      <c r="D7" s="61" t="n"/>
      <c r="E7" s="61" t="n"/>
    </row>
    <row r="8" ht="18.75" customHeight="1" s="486">
      <c r="A8" s="66" t="n"/>
      <c r="B8" s="66" t="n"/>
      <c r="C8" s="66" t="n"/>
      <c r="D8" s="61" t="n"/>
      <c r="E8" s="61" t="n"/>
    </row>
    <row r="9" ht="31.5" customFormat="1" customHeight="1" s="66">
      <c r="A9" s="565" t="inlineStr">
        <is>
          <t>Section N : Details of Installment Tax Paid (Wife)</t>
        </is>
      </c>
      <c r="B9" s="474" t="n"/>
      <c r="C9" s="475" t="n"/>
      <c r="D9" s="61" t="n"/>
      <c r="E9" s="61" t="n"/>
    </row>
    <row r="10" ht="33.75" customHeight="1" s="486">
      <c r="A10" s="34" t="inlineStr">
        <is>
          <t>Payment Registration Number</t>
        </is>
      </c>
      <c r="B10" s="34" t="inlineStr">
        <is>
          <t>Date of Deposit</t>
        </is>
      </c>
      <c r="C10" s="34" t="inlineStr">
        <is>
          <t>Amount of Installment Tax Paid (Ksh)</t>
        </is>
      </c>
      <c r="D10" s="61" t="inlineStr">
        <is>
          <t>Schedule code</t>
        </is>
      </c>
      <c r="E10" s="61" t="inlineStr">
        <is>
          <t>spouse code</t>
        </is>
      </c>
      <c r="F10" s="19" t="n"/>
      <c r="G10" s="19" t="n"/>
      <c r="H10" s="19" t="n"/>
      <c r="I10" s="19" t="n"/>
      <c r="J10" s="19" t="n"/>
      <c r="K10" s="19" t="n"/>
      <c r="L10" s="19" t="n"/>
      <c r="M10" s="19" t="n"/>
      <c r="N10" s="19" t="n"/>
      <c r="O10" s="19" t="n"/>
      <c r="P10" s="19" t="n"/>
      <c r="Q10" s="19" t="n"/>
      <c r="R10" s="19" t="n"/>
      <c r="S10" s="19" t="n"/>
      <c r="T10" s="19" t="n"/>
      <c r="U10" s="19" t="n"/>
    </row>
    <row r="11">
      <c r="A11" s="587" t="n"/>
      <c r="B11" s="588" t="n"/>
      <c r="C11" s="22" t="n"/>
      <c r="D11" s="61">
        <f>IF(COUNTBLANK(A11:C11)=3,"",CONCATENATE("INSTPRNW"))</f>
        <v/>
      </c>
      <c r="E11" s="61">
        <f>IF(COUNTBLANK(A11:C11)=3,"",CONCATENATE("W"))</f>
        <v/>
      </c>
    </row>
    <row r="12">
      <c r="A12" s="587" t="n"/>
      <c r="B12" s="588" t="n"/>
      <c r="C12" s="469" t="n"/>
      <c r="D12" s="61">
        <f>IF(COUNTBLANK(A12:C12)=3,"",CONCATENATE("INSTPRNW"))</f>
        <v/>
      </c>
      <c r="E12" s="61">
        <f>IF(COUNTBLANK(A12:C12)=3,"",CONCATENATE("W"))</f>
        <v/>
      </c>
    </row>
    <row r="13">
      <c r="A13" s="569" t="inlineStr">
        <is>
          <t>Total</t>
        </is>
      </c>
      <c r="B13" s="474" t="n"/>
      <c r="C13" s="113">
        <f>SUM(C11:OFFSET(InstallmentTax.ListWTO,-1,0))</f>
        <v/>
      </c>
      <c r="D13" s="61" t="n"/>
      <c r="E13" s="61" t="n"/>
    </row>
    <row r="14" ht="37.5" customHeight="1" s="486">
      <c r="A14" s="66" t="n"/>
      <c r="B14" s="66" t="n"/>
      <c r="C14" s="66" t="n"/>
      <c r="D14" s="61" t="n"/>
      <c r="E14" s="61" t="n"/>
    </row>
    <row r="15" ht="37.5" customHeight="1" s="486">
      <c r="A15" s="66" t="n"/>
      <c r="B15" s="66" t="n"/>
      <c r="C15" s="66" t="n"/>
      <c r="D15" s="61" t="n"/>
      <c r="E15" s="61" t="n"/>
    </row>
    <row r="16" hidden="1" s="486">
      <c r="A16" s="66" t="n"/>
      <c r="B16" s="66" t="n"/>
      <c r="C16" s="66" t="n"/>
      <c r="D16" s="61" t="n"/>
      <c r="E16" s="61" t="n"/>
    </row>
    <row r="17" hidden="1" s="486">
      <c r="A17" s="66" t="n"/>
      <c r="B17" s="66" t="n"/>
      <c r="C17" s="66" t="n"/>
      <c r="D17" s="61" t="n"/>
      <c r="E17" s="61" t="n"/>
    </row>
  </sheetData>
  <sheetProtection selectLockedCells="0" selectUnlockedCells="0" algorithmName="SHA-512" sheet="1" objects="1" insertRows="1" insertHyperlinks="1" autoFilter="1" scenarios="1" formatColumns="1" deleteColumns="1" insertColumns="1" pivotTables="1" deleteRows="1" formatCells="1" saltValue="nLjAKIkt2Sk65EG0+6K2Ng==" formatRows="1" sort="1" spinCount="100000" hashValue="delmWmj3gSIwNVQ/UrmD+7jjpfCnzS0oFZJ0FBqSasToUAwBFrA44zOCozZI/zbpagHNVT6geYZnAkFp51f1kA=="/>
  <mergeCells count="4">
    <mergeCell ref="A1:C1"/>
    <mergeCell ref="A9:C9"/>
    <mergeCell ref="A13:B13"/>
    <mergeCell ref="A5:B5"/>
  </mergeCells>
  <dataValidations count="3">
    <dataValidation sqref="C3:C4 C11:C12" showDropDown="0" showInputMessage="1" showErrorMessage="1" allowBlank="0" errorTitle="Error:" error="Please enter positive numeric value of length less than or equal to 15 digits" promptTitle="Numeric" prompt="Enter numeric value of length less than or equal to 15 digit." type="decimal">
      <formula1>0</formula1>
      <formula2>999999999999999</formula2>
    </dataValidation>
    <dataValidation sqref="B3:B4 B11:B12" showDropDown="0" showInputMessage="1" showErrorMessage="0" allowBlank="0" errorTitle="Date" error="Please enter date value in dd/mm/yyyy format." promptTitle="Date:" prompt="Enter date value in dd/mm/yyyy format."/>
    <dataValidation sqref="A3:A4 A11:A12" showDropDown="0" showInputMessage="1" showErrorMessage="1" allowBlank="0" errorTitle="Data Error:" error="Please enter Numeric value of length less than or equal to 20  characters." promptTitle="Numeric:" prompt="Enter Numeric value of length less than or equal to 20  characters.Special characters like - is allowed." type="textLength" operator="lessThanOrEqual">
      <formula1>20</formula1>
    </dataValidation>
  </dataValidations>
  <pageMargins left="0.7" right="0.7" top="0.75" bottom="0.75" header="0.5118055555555555" footer="0.5118055555555555"/>
  <pageSetup orientation="portrait" paperSize="9" firstPageNumber="0" horizontalDpi="300" verticalDpi="300"/>
  <drawing r:id="rId1"/>
</worksheet>
</file>

<file path=xl/worksheets/sheet26.xml><?xml version="1.0" encoding="utf-8"?>
<worksheet xmlns:r="http://schemas.openxmlformats.org/officeDocument/2006/relationships" xmlns="http://schemas.openxmlformats.org/spreadsheetml/2006/main">
  <sheetPr codeName="Sheet36">
    <outlinePr summaryBelow="1" summaryRight="1"/>
    <pageSetUpPr/>
  </sheetPr>
  <dimension ref="A1:G17"/>
  <sheetViews>
    <sheetView zoomScaleNormal="100" workbookViewId="0">
      <selection activeCell="A11" sqref="A11:E12"/>
    </sheetView>
  </sheetViews>
  <sheetFormatPr baseColWidth="10" defaultColWidth="0" defaultRowHeight="15" customHeight="1" zeroHeight="1"/>
  <cols>
    <col width="27.6640625" customWidth="1" style="66" min="1" max="5"/>
    <col width="14.33203125" customWidth="1" style="66" min="6" max="6"/>
    <col hidden="1" width="14.33203125" customWidth="1" style="60" min="7" max="7"/>
    <col hidden="1" width="13" customWidth="1" style="525" min="8" max="8"/>
    <col hidden="1" width="13" customWidth="1" style="525" min="9" max="16384"/>
  </cols>
  <sheetData>
    <row r="1" ht="31.5" customFormat="1" customHeight="1" s="66">
      <c r="A1" s="505" t="inlineStr">
        <is>
          <t xml:space="preserve">Section O : Details of Tax Withheld (Self) </t>
        </is>
      </c>
      <c r="B1" s="491" t="n"/>
      <c r="C1" s="491" t="n"/>
      <c r="D1" s="491" t="n"/>
      <c r="E1" s="481" t="n"/>
      <c r="F1" s="140" t="n"/>
      <c r="G1" s="61" t="n"/>
    </row>
    <row r="2" ht="34" customFormat="1" customHeight="1" s="17">
      <c r="A2" s="142" t="inlineStr">
        <is>
          <t>PIN of Withholder</t>
        </is>
      </c>
      <c r="B2" s="142" t="inlineStr">
        <is>
          <t>Name of Withholder</t>
        </is>
      </c>
      <c r="C2" s="142" t="inlineStr">
        <is>
          <t>Withholding Certificate Number</t>
        </is>
      </c>
      <c r="D2" s="142" t="inlineStr">
        <is>
          <t>Withholding Transaction Date</t>
        </is>
      </c>
      <c r="E2" s="142" t="inlineStr">
        <is>
          <t>Amount of Tax 
Withheld (Ksh)</t>
        </is>
      </c>
      <c r="F2" s="61" t="inlineStr">
        <is>
          <t>spouse code</t>
        </is>
      </c>
      <c r="G2" s="61" t="n"/>
    </row>
    <row r="3" ht="15.75" customHeight="1" s="486">
      <c r="A3" s="22" t="n"/>
      <c r="B3" s="22" t="n"/>
      <c r="C3" s="22" t="n"/>
      <c r="D3" s="22" t="n"/>
      <c r="E3" s="22" t="n"/>
      <c r="F3" s="61" t="n"/>
      <c r="G3" s="61" t="n"/>
    </row>
    <row r="4" ht="16" customHeight="1" s="486">
      <c r="A4" s="22" t="n"/>
      <c r="B4" s="22" t="n"/>
      <c r="C4" s="22" t="n"/>
      <c r="D4" s="22" t="n"/>
      <c r="E4" s="22" t="n"/>
      <c r="F4" s="61" t="n"/>
      <c r="G4" s="61" t="n"/>
    </row>
    <row r="5" ht="16.5" customHeight="1" s="486">
      <c r="A5" s="568" t="inlineStr">
        <is>
          <t>Total</t>
        </is>
      </c>
      <c r="B5" s="491" t="n"/>
      <c r="C5" s="491" t="n"/>
      <c r="D5" s="481" t="n"/>
      <c r="E5" s="135">
        <f>IF(ISERROR(SUM(E3:OFFSET(WithHolding.ListSTO,-1,0))),0,SUM(E3:OFFSET(WithHolding.ListSTO,-1,0)))</f>
        <v/>
      </c>
      <c r="F5" s="141">
        <f>SUM(F3:OFFSET(WithHolding.ListSTO,-1,0))</f>
        <v/>
      </c>
      <c r="G5" s="61" t="n"/>
    </row>
    <row r="6" ht="15" customHeight="1" s="486">
      <c r="G6" s="61" t="n"/>
    </row>
    <row r="7" ht="15" customHeight="1" s="486">
      <c r="G7" s="61" t="n"/>
    </row>
    <row r="8" ht="21.75" customHeight="1" s="486">
      <c r="G8" s="61" t="n"/>
    </row>
    <row r="9" ht="31.5" customFormat="1" customHeight="1" s="66">
      <c r="A9" s="505" t="inlineStr">
        <is>
          <t xml:space="preserve">Section O : Details of Tax Withheld (Wife) </t>
        </is>
      </c>
      <c r="B9" s="491" t="n"/>
      <c r="C9" s="491" t="n"/>
      <c r="D9" s="491" t="n"/>
      <c r="E9" s="481" t="n"/>
      <c r="G9" s="61" t="n"/>
    </row>
    <row r="10" ht="34" customFormat="1" customHeight="1" s="17">
      <c r="A10" s="142" t="inlineStr">
        <is>
          <t>PIN of Withholder</t>
        </is>
      </c>
      <c r="B10" s="142" t="inlineStr">
        <is>
          <t>Name of Withholder</t>
        </is>
      </c>
      <c r="C10" s="142" t="inlineStr">
        <is>
          <t>Withholding Certificate Number</t>
        </is>
      </c>
      <c r="D10" s="142" t="inlineStr">
        <is>
          <t>Withholding Transaction Date</t>
        </is>
      </c>
      <c r="E10" s="142" t="inlineStr">
        <is>
          <t>Amount of Tax 
Withheld (Ksh)</t>
        </is>
      </c>
      <c r="F10" s="61" t="inlineStr">
        <is>
          <t>spouse code</t>
        </is>
      </c>
      <c r="G10" s="61" t="n"/>
    </row>
    <row r="11" ht="16" customHeight="1" s="486">
      <c r="A11" s="22" t="n"/>
      <c r="B11" s="22" t="n"/>
      <c r="C11" s="22" t="n"/>
      <c r="D11" s="22" t="n"/>
      <c r="E11" s="22" t="n"/>
      <c r="F11" s="61">
        <f>IF(E11="","",CONCATENATE("W"))</f>
        <v/>
      </c>
      <c r="G11" s="61" t="n"/>
    </row>
    <row r="12" ht="16" customHeight="1" s="486">
      <c r="A12" s="22" t="n"/>
      <c r="B12" s="22" t="n"/>
      <c r="C12" s="22" t="n"/>
      <c r="D12" s="22" t="n"/>
      <c r="E12" s="22" t="n"/>
      <c r="F12" s="61">
        <f>IF(E12="","",CONCATENATE("W"))</f>
        <v/>
      </c>
      <c r="G12" s="61" t="n"/>
    </row>
    <row r="13" ht="16.5" customHeight="1" s="486">
      <c r="A13" s="570" t="inlineStr">
        <is>
          <t>Total</t>
        </is>
      </c>
      <c r="B13" s="553" t="n"/>
      <c r="C13" s="553" t="n"/>
      <c r="D13" s="571" t="n"/>
      <c r="E13" s="110">
        <f>IF(ISERROR(SUM(E11:OFFSET(WithHolding.ListWTO,-1,0))),0,SUM(E11:OFFSET(WithHolding.ListWTO,-1,0)))</f>
        <v/>
      </c>
      <c r="G13" s="61" t="n"/>
    </row>
    <row r="14" ht="37.5" customHeight="1" s="486">
      <c r="G14" s="66" t="n"/>
    </row>
    <row r="15" ht="37.5" customHeight="1" s="486">
      <c r="G15" s="66" t="n"/>
    </row>
    <row r="16" hidden="1" ht="16.5" customHeight="1" s="486">
      <c r="G16" s="66" t="n"/>
    </row>
    <row r="17" hidden="1" ht="16.5" customHeight="1" s="486">
      <c r="G17" s="66" t="n"/>
    </row>
  </sheetData>
  <sheetProtection selectLockedCells="0" selectUnlockedCells="0" algorithmName="SHA-512" sheet="1" objects="1" insertRows="1" insertHyperlinks="1" autoFilter="1" scenarios="1" formatColumns="1" deleteColumns="1" insertColumns="1" pivotTables="1" deleteRows="1" formatCells="1" saltValue="HLGkLGLKcbA55mGnCc3L9A==" formatRows="1" sort="1" spinCount="100000" hashValue="XVC2g+58kQiyVyty8aBfGe4gluW+UMQu6pFaBJbb8PG7BxjUxH9d6SXy3tS56X+HD+yUanvPrpwjjhEeXiLnOg=="/>
  <mergeCells count="4">
    <mergeCell ref="A5:D5"/>
    <mergeCell ref="A1:E1"/>
    <mergeCell ref="A9:E9"/>
    <mergeCell ref="A13:D13"/>
  </mergeCells>
  <dataValidations xWindow="1097" yWindow="386" count="1">
    <dataValidation sqref="A3:E4 A11:E12" showDropDown="0" showInputMessage="0" showErrorMessage="1" allowBlank="0"/>
  </dataValidations>
  <pageMargins left="0.7" right="0.7" top="0.75" bottom="0.75" header="0.5118055555555555" footer="0.5118055555555555"/>
  <pageSetup orientation="portrait" paperSize="9" firstPageNumber="0" horizontalDpi="300" verticalDpi="300"/>
  <drawing r:id="rId1"/>
</worksheet>
</file>

<file path=xl/worksheets/sheet27.xml><?xml version="1.0" encoding="utf-8"?>
<worksheet xmlns:r="http://schemas.openxmlformats.org/officeDocument/2006/relationships" xmlns="http://schemas.openxmlformats.org/spreadsheetml/2006/main">
  <sheetPr codeName="Sheet35">
    <outlinePr summaryBelow="1" summaryRight="1"/>
    <pageSetUpPr/>
  </sheetPr>
  <dimension ref="A1:X17"/>
  <sheetViews>
    <sheetView workbookViewId="0">
      <selection activeCell="A11" sqref="A11:D12"/>
    </sheetView>
  </sheetViews>
  <sheetFormatPr baseColWidth="10" defaultColWidth="0" defaultRowHeight="15" customHeight="1" zeroHeight="1"/>
  <cols>
    <col width="27.6640625" customWidth="1" style="107" min="1" max="6"/>
    <col width="10.6640625" customWidth="1" style="109" min="7" max="7"/>
    <col width="10.6640625" customWidth="1" style="398" min="8" max="8"/>
    <col hidden="1" width="10.6640625" customWidth="1" style="104" min="9" max="9"/>
    <col hidden="1" width="10.6640625" customWidth="1" style="104" min="10" max="16384"/>
  </cols>
  <sheetData>
    <row r="1" ht="31.5" customFormat="1" customHeight="1" s="103">
      <c r="A1" s="565" t="inlineStr">
        <is>
          <t>Section P : Details of Advance Tax Paid on Commercial Vehicles(Self)</t>
        </is>
      </c>
      <c r="B1" s="474" t="n"/>
      <c r="C1" s="474" t="n"/>
      <c r="D1" s="474" t="n"/>
      <c r="E1" s="474" t="n"/>
      <c r="F1" s="475" t="n"/>
      <c r="G1" s="102" t="n"/>
      <c r="H1" s="396" t="n"/>
    </row>
    <row r="2" ht="34" customHeight="1" s="486">
      <c r="A2" s="34" t="inlineStr">
        <is>
          <t>Vehicle Registration Number</t>
        </is>
      </c>
      <c r="B2" s="34" t="inlineStr">
        <is>
          <t>Body Type</t>
        </is>
      </c>
      <c r="C2" s="34" t="inlineStr">
        <is>
          <t>Usage</t>
        </is>
      </c>
      <c r="D2" s="35" t="inlineStr">
        <is>
          <t>Load Capacity (Tonnage)</t>
        </is>
      </c>
      <c r="E2" s="34" t="inlineStr">
        <is>
          <t>Seating Capacity Passenger</t>
        </is>
      </c>
      <c r="F2" s="34" t="inlineStr">
        <is>
          <t>Amount of Advance Tax Paid (Ksh)</t>
        </is>
      </c>
      <c r="G2" s="102" t="inlineStr">
        <is>
          <t>spouse code</t>
        </is>
      </c>
      <c r="H2" s="397" t="inlineStr">
        <is>
          <t>UsageCode</t>
        </is>
      </c>
      <c r="I2" s="19" t="n"/>
      <c r="J2" s="19" t="n"/>
      <c r="K2" s="19" t="n"/>
      <c r="L2" s="19" t="n"/>
      <c r="M2" s="19" t="n"/>
      <c r="N2" s="19" t="n"/>
      <c r="O2" s="19" t="n"/>
      <c r="P2" s="19" t="n"/>
      <c r="Q2" s="19" t="n"/>
      <c r="R2" s="19" t="n"/>
      <c r="S2" s="19" t="n"/>
      <c r="T2" s="19" t="n"/>
      <c r="U2" s="19" t="n"/>
      <c r="V2" s="19" t="n"/>
      <c r="W2" s="19" t="n"/>
      <c r="X2" s="19" t="n"/>
    </row>
    <row r="3" ht="17" customHeight="1" s="486">
      <c r="A3" s="105" t="n"/>
      <c r="B3" s="105" t="n"/>
      <c r="C3" s="105" t="n"/>
      <c r="D3" s="105" t="n"/>
      <c r="E3" s="105" t="n"/>
      <c r="F3" s="106">
        <f>IF(ISERROR(IF(COUNTBLANK(C3:E3)=3,"",IF(((C3="Van, Pick-ups, Trucks, Lorries")*AND(D3*1500&gt;2400)),ROUND(D3,2)*1500,IF(((C3="Saloons, Station-Wagons, Minibuses, Buses, Coaches")*AND(E3*720&gt;2400)),ROUND(E3,2)*720,2400)))),0,IF(COUNTBLANK(C3:E3)=3,"",IF(((C3="Van, Pick-ups, Trucks, Lorries")*AND(D3*1500&gt;2400)),ROUND(D3,2)*1500,IF(((C3="Saloons, Station-Wagons, Minibuses, Buses, Coaches")*AND(E3*720&gt;2400)),ROUND(E3,2)*720,2400))))</f>
        <v/>
      </c>
      <c r="G3" s="102">
        <f>IF(F3="","",CONCATENATE("H"))</f>
        <v/>
      </c>
      <c r="H3" s="397" t="n"/>
    </row>
    <row r="4" ht="17" customHeight="1" s="486">
      <c r="A4" s="105" t="n"/>
      <c r="B4" s="105" t="n"/>
      <c r="C4" s="105" t="n"/>
      <c r="D4" s="105" t="n"/>
      <c r="E4" s="105" t="n"/>
      <c r="F4" s="106">
        <f>IF(ISERROR(IF(COUNTBLANK(C4:E4)=3,"",IF(((C4="Van, Pick-ups, Trucks, Lorries")*AND(D4*1500&gt;2400)),ROUND(D4,2)*1500,IF(((C4="Saloons, Station-Wagons, Minibuses, Buses, Coaches")*AND(E4*720&gt;2400)),ROUND(E4,2)*720,2400)))),0,IF(COUNTBLANK(C4:E4)=3,"",IF(((C4="Van, Pick-ups, Trucks, Lorries")*AND(D4*1500&gt;2400)),ROUND(D4,2)*1500,IF(((C4="Saloons, Station-Wagons, Minibuses, Buses, Coaches")*AND(E4*720&gt;2400)),ROUND(E4,2)*720,2400))))</f>
        <v/>
      </c>
      <c r="G4" s="102">
        <f>IF(F4="","",CONCATENATE("H"))</f>
        <v/>
      </c>
      <c r="H4" s="397" t="n"/>
    </row>
    <row r="5" ht="16.5" customFormat="1" customHeight="1" s="107">
      <c r="A5" s="567" t="inlineStr">
        <is>
          <t>Total</t>
        </is>
      </c>
      <c r="B5" s="474" t="n"/>
      <c r="C5" s="474" t="n"/>
      <c r="D5" s="474" t="n"/>
      <c r="E5" s="475" t="n"/>
      <c r="F5" s="99">
        <f>SUM(F3:OFFSET(VehicleAdvTaxPaid.ListSTO,-1,0))</f>
        <v/>
      </c>
      <c r="G5" s="102" t="n"/>
      <c r="H5" s="396" t="n"/>
    </row>
    <row r="6" ht="15" customFormat="1" customHeight="1" s="107">
      <c r="A6" s="108" t="n"/>
      <c r="B6" s="108" t="n"/>
      <c r="C6" s="108" t="n"/>
      <c r="D6" s="108" t="n"/>
      <c r="E6" s="108" t="n"/>
      <c r="F6" s="108" t="n"/>
      <c r="G6" s="102" t="n"/>
      <c r="H6" s="396" t="n"/>
    </row>
    <row r="7" ht="15" customFormat="1" customHeight="1" s="107">
      <c r="A7" s="108" t="n"/>
      <c r="B7" s="108" t="n"/>
      <c r="C7" s="108" t="n"/>
      <c r="D7" s="108" t="n"/>
      <c r="E7" s="108" t="n"/>
      <c r="F7" s="108" t="n"/>
      <c r="G7" s="102" t="n"/>
      <c r="H7" s="396" t="n"/>
    </row>
    <row r="8" ht="15" customFormat="1" customHeight="1" s="107">
      <c r="A8" s="108" t="n"/>
      <c r="B8" s="108" t="n"/>
      <c r="C8" s="108" t="n"/>
      <c r="D8" s="108" t="n"/>
      <c r="E8" s="108" t="n"/>
      <c r="F8" s="108" t="n"/>
      <c r="G8" s="102" t="n"/>
      <c r="H8" s="396" t="n"/>
    </row>
    <row r="9" ht="31.5" customFormat="1" customHeight="1" s="103">
      <c r="A9" s="565" t="inlineStr">
        <is>
          <t>Section P : Details of Advance Tax Paid on Commercial Vehicles(Wife)</t>
        </is>
      </c>
      <c r="B9" s="474" t="n"/>
      <c r="C9" s="474" t="n"/>
      <c r="D9" s="474" t="n"/>
      <c r="E9" s="474" t="n"/>
      <c r="F9" s="475" t="n"/>
      <c r="G9" s="102" t="n"/>
      <c r="H9" s="396" t="n"/>
    </row>
    <row r="10" ht="34" customHeight="1" s="486">
      <c r="A10" s="34" t="inlineStr">
        <is>
          <t>Vehicle Registration Number</t>
        </is>
      </c>
      <c r="B10" s="34" t="inlineStr">
        <is>
          <t>Body Type</t>
        </is>
      </c>
      <c r="C10" s="34" t="inlineStr">
        <is>
          <t>Usage</t>
        </is>
      </c>
      <c r="D10" s="35" t="inlineStr">
        <is>
          <t>Load Capacity (Tonnage)</t>
        </is>
      </c>
      <c r="E10" s="34" t="inlineStr">
        <is>
          <t>Seating Capacity Passenger</t>
        </is>
      </c>
      <c r="F10" s="34" t="inlineStr">
        <is>
          <t>Amount of Advance Tax Paid (Ksh)</t>
        </is>
      </c>
      <c r="G10" s="102" t="inlineStr">
        <is>
          <t>spouse code</t>
        </is>
      </c>
      <c r="H10" s="396" t="n"/>
      <c r="I10" s="19" t="n"/>
      <c r="J10" s="19" t="n"/>
      <c r="K10" s="19" t="n"/>
      <c r="L10" s="19" t="n"/>
      <c r="M10" s="19" t="n"/>
      <c r="N10" s="19" t="n"/>
      <c r="O10" s="19" t="n"/>
      <c r="P10" s="19" t="n"/>
      <c r="Q10" s="19" t="n"/>
      <c r="R10" s="19" t="n"/>
      <c r="S10" s="19" t="n"/>
      <c r="T10" s="19" t="n"/>
      <c r="U10" s="19" t="n"/>
      <c r="V10" s="19" t="n"/>
      <c r="W10" s="19" t="n"/>
      <c r="X10" s="19" t="n"/>
    </row>
    <row r="11" ht="17" customHeight="1" s="486">
      <c r="A11" s="105" t="n"/>
      <c r="B11" s="105" t="n"/>
      <c r="C11" s="105" t="n"/>
      <c r="D11" s="105" t="n"/>
      <c r="E11" s="105" t="n"/>
      <c r="F11" s="106">
        <f>IF(ISERROR(IF(COUNTBLANK(C11:E11)=3,"",IF(((C11="Van, Pick-ups, Trucks, Lorries")*AND(D11*1500&gt;2400)),ROUND(D11,2)*1500,IF(((C11="Saloons, Station-Wagons, Minibuses, Buses, Coaches")*AND(E11*720&gt;2400)),ROUND(E11,2)*720,2400)))),0,IF(COUNTBLANK(C11:E11)=3,"",IF(((C11="Van, Pick-ups, Trucks, Lorries")*AND(D11*1500&gt;2400)),ROUND(D11,2)*1500,IF(((C11="Saloons, Station-Wagons, Minibuses, Buses, Coaches")*AND(E11*720&gt;2400)),ROUND(E11,2)*720,2400))))</f>
        <v/>
      </c>
      <c r="G11" s="102">
        <f>IF(F11="","",CONCATENATE("W"))</f>
        <v/>
      </c>
      <c r="H11" s="397" t="n"/>
    </row>
    <row r="12" ht="17" customHeight="1" s="486">
      <c r="A12" s="105" t="n"/>
      <c r="B12" s="105" t="n"/>
      <c r="C12" s="105" t="n"/>
      <c r="D12" s="105" t="n"/>
      <c r="E12" s="105" t="n"/>
      <c r="F12" s="106">
        <f>IF(ISERROR(IF(COUNTBLANK(C12:E12)=3,"",IF(((C12="Van, Pick-ups, Trucks, Lorries")*AND(D12*1500&gt;2400)),ROUND(D12,2)*1500,IF(((C12="Saloons, Station-Wagons, Minibuses, Buses, Coaches")*AND(E12*720&gt;2400)),ROUND(E12,2)*720,2400)))),0,IF(COUNTBLANK(C12:E12)=3,"",IF(((C12="Van, Pick-ups, Trucks, Lorries")*AND(D12*1500&gt;2400)),ROUND(D12,2)*1500,IF(((C12="Saloons, Station-Wagons, Minibuses, Buses, Coaches")*AND(E12*720&gt;2400)),ROUND(E12,2)*720,2400))))</f>
        <v/>
      </c>
      <c r="G12" s="102">
        <f>IF(F12="","",CONCATENATE("W"))</f>
        <v/>
      </c>
      <c r="H12" s="397" t="n"/>
    </row>
    <row r="13" ht="16.5" customFormat="1" customHeight="1" s="107">
      <c r="A13" s="567" t="inlineStr">
        <is>
          <t>Total</t>
        </is>
      </c>
      <c r="B13" s="474" t="n"/>
      <c r="C13" s="474" t="n"/>
      <c r="D13" s="474" t="n"/>
      <c r="E13" s="475" t="n"/>
      <c r="F13" s="99">
        <f>SUM(F11:OFFSET(VehicleAdvTaxPaid.ListWTO,-1,0))</f>
        <v/>
      </c>
      <c r="G13" s="102" t="n"/>
      <c r="H13" s="396" t="n"/>
    </row>
    <row r="14" ht="37.5" customHeight="1" s="486">
      <c r="A14" s="108" t="n"/>
      <c r="B14" s="108" t="n"/>
      <c r="C14" s="108" t="n"/>
      <c r="D14" s="108" t="n"/>
      <c r="E14" s="108" t="n"/>
      <c r="F14" s="108" t="n"/>
      <c r="G14" s="102" t="n"/>
      <c r="H14" s="396" t="n"/>
    </row>
    <row r="15" ht="37.5" customHeight="1" s="486">
      <c r="A15" s="108" t="n"/>
      <c r="B15" s="108" t="n"/>
      <c r="C15" s="108" t="n"/>
      <c r="D15" s="108" t="n"/>
      <c r="E15" s="108" t="n"/>
      <c r="F15" s="108" t="n"/>
      <c r="G15" s="102" t="n"/>
      <c r="H15" s="396" t="n"/>
    </row>
    <row r="16" hidden="1" ht="16.5" customHeight="1" s="486">
      <c r="A16" s="108" t="n"/>
      <c r="B16" s="108" t="n"/>
      <c r="C16" s="108" t="n"/>
      <c r="D16" s="108" t="n"/>
      <c r="E16" s="108" t="n"/>
      <c r="F16" s="108" t="n"/>
      <c r="G16" s="102" t="n"/>
    </row>
    <row r="17" hidden="1" ht="16.5" customHeight="1" s="486">
      <c r="A17" s="108" t="n"/>
      <c r="B17" s="108" t="n"/>
      <c r="C17" s="108" t="n"/>
      <c r="D17" s="108" t="n"/>
      <c r="E17" s="108" t="n"/>
      <c r="F17" s="108" t="n"/>
      <c r="G17" s="102" t="n"/>
    </row>
  </sheetData>
  <sheetProtection selectLockedCells="0" selectUnlockedCells="0" algorithmName="SHA-512" sheet="1" objects="1" insertRows="1" insertHyperlinks="1" autoFilter="1" scenarios="1" formatColumns="1" deleteColumns="1" insertColumns="1" pivotTables="1" deleteRows="1" formatCells="1" saltValue="IDY9w0AV7pxidVwMHpDMBA==" formatRows="1" sort="1" spinCount="100000" hashValue="Zu73rioAR9srEpAhLcHDrZohlgjGm9QpCpFd7UMLJUW8ivUHHnPWd//mN8P7i/FoMnnqeT5zaXHxGp9L+4KmVg=="/>
  <mergeCells count="4">
    <mergeCell ref="A5:E5"/>
    <mergeCell ref="A1:F1"/>
    <mergeCell ref="A9:F9"/>
    <mergeCell ref="A13:E13"/>
  </mergeCells>
  <dataValidations xWindow="245" yWindow="293" count="1">
    <dataValidation sqref="A3:F4 A11:F12" showDropDown="0" showInputMessage="0" showErrorMessage="1" allowBlank="0"/>
  </dataValidations>
  <pageMargins left="0.7" right="0.7" top="0.75" bottom="0.75" header="0.5118055555555555" footer="0.5118055555555555"/>
  <pageSetup orientation="portrait" paperSize="9" scale="38" firstPageNumber="0" horizontalDpi="300" verticalDpi="300"/>
  <drawing r:id="rId1"/>
</worksheet>
</file>

<file path=xl/worksheets/sheet28.xml><?xml version="1.0" encoding="utf-8"?>
<worksheet xmlns:r="http://schemas.openxmlformats.org/officeDocument/2006/relationships" xmlns="http://schemas.openxmlformats.org/spreadsheetml/2006/main">
  <sheetPr codeName="Sheet41">
    <outlinePr summaryBelow="1" summaryRight="1"/>
    <pageSetUpPr/>
  </sheetPr>
  <dimension ref="A1:E35"/>
  <sheetViews>
    <sheetView topLeftCell="A12" workbookViewId="0">
      <selection activeCell="C13" sqref="C13"/>
    </sheetView>
  </sheetViews>
  <sheetFormatPr baseColWidth="10" defaultColWidth="0" defaultRowHeight="15" customHeight="1" zeroHeight="1"/>
  <cols>
    <col width="27.6640625" customWidth="1" style="486" min="1" max="3"/>
    <col width="7.1640625" customWidth="1" style="486" min="4" max="5"/>
  </cols>
  <sheetData>
    <row r="1" ht="31.5" customHeight="1" s="486">
      <c r="A1" s="505" t="inlineStr">
        <is>
          <t>Section Q : Details of Income Tax Paid in Advance (Self)</t>
        </is>
      </c>
      <c r="B1" s="491" t="n"/>
      <c r="C1" s="481" t="n"/>
      <c r="D1" s="143" t="n"/>
      <c r="E1" s="143" t="n"/>
    </row>
    <row r="2" ht="21" customHeight="1" s="486">
      <c r="A2" s="575" t="inlineStr">
        <is>
          <t>Section Q1 : Advance Payment</t>
        </is>
      </c>
      <c r="B2" s="491" t="n"/>
      <c r="C2" s="481" t="n"/>
      <c r="D2" s="143" t="n"/>
      <c r="E2" s="143" t="n"/>
    </row>
    <row r="3" ht="50.25" customHeight="1" s="486">
      <c r="A3" s="147" t="inlineStr">
        <is>
          <t>Payment Registration Number</t>
        </is>
      </c>
      <c r="B3" s="147" t="inlineStr">
        <is>
          <t>Date of Deposit</t>
        </is>
      </c>
      <c r="C3" s="147" t="inlineStr">
        <is>
          <t>Amount of Income Tax Paid (Ksh)</t>
        </is>
      </c>
      <c r="D3" s="32" t="inlineStr">
        <is>
          <t>schedule code</t>
        </is>
      </c>
      <c r="E3" s="32" t="inlineStr">
        <is>
          <t>spouse code</t>
        </is>
      </c>
    </row>
    <row r="4" ht="16" customHeight="1" s="486">
      <c r="A4" s="95" t="n"/>
      <c r="B4" s="257" t="n"/>
      <c r="C4" s="55" t="n"/>
      <c r="D4" s="61">
        <f>IF(B4="","",CONCATENATE("INCMPRNH"))</f>
        <v/>
      </c>
      <c r="E4" s="61">
        <f>IF(C4="","",CONCATENATE("H"))</f>
        <v/>
      </c>
    </row>
    <row r="5" ht="16" customHeight="1" s="486">
      <c r="A5" s="95" t="n"/>
      <c r="B5" s="257" t="n"/>
      <c r="C5" s="55" t="n"/>
      <c r="D5" s="61">
        <f>IF(B5="","",CONCATENATE("INCMPRNH"))</f>
        <v/>
      </c>
      <c r="E5" s="61">
        <f>IF(C5="","",CONCATENATE("H"))</f>
        <v/>
      </c>
    </row>
    <row r="6" ht="16" customHeight="1" s="486">
      <c r="A6" s="533" t="inlineStr">
        <is>
          <t>Total</t>
        </is>
      </c>
      <c r="B6" s="481" t="n"/>
      <c r="C6" s="135">
        <f>SUM(C4:OFFSET(DtlIncomePaid.IncomePaidAdvanceListSTO,-1,0))</f>
        <v/>
      </c>
      <c r="D6" s="143" t="n"/>
      <c r="E6" s="143" t="n"/>
    </row>
    <row r="7">
      <c r="A7" s="143" t="n"/>
      <c r="B7" s="143" t="n"/>
      <c r="C7" s="143" t="n"/>
      <c r="D7" s="143" t="n"/>
      <c r="E7" s="143" t="n"/>
    </row>
    <row r="8">
      <c r="A8" s="143" t="n"/>
      <c r="B8" s="143" t="n"/>
      <c r="C8" s="143" t="n"/>
      <c r="D8" s="143" t="n"/>
      <c r="E8" s="143" t="n"/>
    </row>
    <row r="9">
      <c r="A9" s="143" t="n"/>
      <c r="B9" s="143" t="n"/>
      <c r="C9" s="143" t="n"/>
      <c r="D9" s="143" t="n"/>
      <c r="E9" s="143" t="n"/>
    </row>
    <row r="10" ht="21" customHeight="1" s="486">
      <c r="A10" s="575" t="inlineStr">
        <is>
          <t>Section Q2 : Self Assessment Tax</t>
        </is>
      </c>
      <c r="B10" s="491" t="n"/>
      <c r="C10" s="481" t="n"/>
      <c r="D10" s="143" t="n"/>
      <c r="E10" s="143" t="n"/>
    </row>
    <row r="11" ht="50.25" customHeight="1" s="486">
      <c r="A11" s="147" t="inlineStr">
        <is>
          <t>Payment Registration Number</t>
        </is>
      </c>
      <c r="B11" s="147" t="inlineStr">
        <is>
          <t>Date of Deposit</t>
        </is>
      </c>
      <c r="C11" s="147" t="inlineStr">
        <is>
          <t>Amount of Income Tax Paid (Ksh)</t>
        </is>
      </c>
      <c r="D11" s="32" t="inlineStr">
        <is>
          <t>schedule code</t>
        </is>
      </c>
      <c r="E11" s="32" t="inlineStr">
        <is>
          <t>spouse code</t>
        </is>
      </c>
    </row>
    <row r="12" ht="16" customHeight="1" s="486">
      <c r="A12" s="95" t="n"/>
      <c r="B12" s="257" t="n"/>
      <c r="C12" s="55" t="n"/>
      <c r="D12" s="61">
        <f>IF(B12="","",CONCATENATE("SFASPMTH"))</f>
        <v/>
      </c>
      <c r="E12" s="61">
        <f>IF(C12="","",CONCATENATE("H"))</f>
        <v/>
      </c>
    </row>
    <row r="13" ht="16" customHeight="1" s="486">
      <c r="A13" s="95" t="n"/>
      <c r="B13" s="257" t="n"/>
      <c r="C13" s="55" t="n"/>
      <c r="D13" s="61">
        <f>IF(B13="","",CONCATENATE("SFASPMTH"))</f>
        <v/>
      </c>
      <c r="E13" s="61">
        <f>IF(C13="","",CONCATENATE("H"))</f>
        <v/>
      </c>
    </row>
    <row r="14" ht="16" customHeight="1" s="486">
      <c r="A14" s="573" t="inlineStr">
        <is>
          <t>Total</t>
        </is>
      </c>
      <c r="B14" s="574" t="n"/>
      <c r="C14" s="135">
        <f>SUM(C12:OFFSET(DtlIncomePaid.IncomePaidSelfAssmntListSTO,-1,0))</f>
        <v/>
      </c>
      <c r="D14" s="143" t="n"/>
      <c r="E14" s="143" t="n"/>
    </row>
    <row r="15" ht="16" customHeight="1" s="486">
      <c r="A15" s="572" t="inlineStr">
        <is>
          <t xml:space="preserve">Total (Section Q1 Total + Section Q2 Total) </t>
        </is>
      </c>
      <c r="B15" s="515" t="n"/>
      <c r="C15" s="135">
        <f>SUM(DtlIncomePaid.IncomePaidAdvanceListSTO,DtlIncomePaid.IncomePaidSelfAssmntListSTO)</f>
        <v/>
      </c>
      <c r="D15" s="143" t="n"/>
      <c r="E15" s="143" t="n"/>
    </row>
    <row r="16">
      <c r="A16" s="143" t="n"/>
      <c r="B16" s="143" t="n"/>
      <c r="C16" s="143" t="n"/>
      <c r="D16" s="143" t="n"/>
      <c r="E16" s="143" t="n"/>
    </row>
    <row r="17">
      <c r="A17" s="143" t="n"/>
      <c r="B17" s="143" t="n"/>
      <c r="C17" s="143" t="n"/>
      <c r="D17" s="143" t="n"/>
      <c r="E17" s="143" t="n"/>
    </row>
    <row r="18" ht="18.75" customHeight="1" s="486">
      <c r="A18" s="143" t="n"/>
      <c r="B18" s="143" t="n"/>
      <c r="C18" s="143" t="n"/>
      <c r="D18" s="143" t="n"/>
      <c r="E18" s="143" t="n"/>
    </row>
    <row r="19" ht="31.5" customHeight="1" s="486">
      <c r="A19" s="505" t="inlineStr">
        <is>
          <t>Section Q : Details of Income Tax Paid in Advance (Wife)</t>
        </is>
      </c>
      <c r="B19" s="491" t="n"/>
      <c r="C19" s="481" t="n"/>
      <c r="D19" s="143" t="n"/>
      <c r="E19" s="143" t="n"/>
    </row>
    <row r="20" ht="21" customHeight="1" s="486">
      <c r="A20" s="575" t="inlineStr">
        <is>
          <t>Section Q1 : Advance Payment</t>
        </is>
      </c>
      <c r="B20" s="491" t="n"/>
      <c r="C20" s="481" t="n"/>
      <c r="D20" s="143" t="n"/>
      <c r="E20" s="143" t="n"/>
    </row>
    <row r="21" ht="51" customHeight="1" s="486">
      <c r="A21" s="147" t="inlineStr">
        <is>
          <t>Payment Registration Number</t>
        </is>
      </c>
      <c r="B21" s="147" t="inlineStr">
        <is>
          <t>Date of Deposit</t>
        </is>
      </c>
      <c r="C21" s="147" t="inlineStr">
        <is>
          <t>Amount of Income Tax Paid (Ksh)</t>
        </is>
      </c>
      <c r="D21" s="32" t="inlineStr">
        <is>
          <t>schedule code</t>
        </is>
      </c>
      <c r="E21" s="32" t="inlineStr">
        <is>
          <t>spouse code</t>
        </is>
      </c>
    </row>
    <row r="22" ht="16" customHeight="1" s="486">
      <c r="A22" s="442" t="n"/>
      <c r="B22" s="456" t="n"/>
      <c r="C22" s="64" t="n"/>
      <c r="D22" s="61">
        <f>IF(B22="","",CONCATENATE("INCMPRNW"))</f>
        <v/>
      </c>
      <c r="E22" s="61">
        <f>IF(C22="","",CONCATENATE("W"))</f>
        <v/>
      </c>
    </row>
    <row r="23" ht="16" customHeight="1" s="486">
      <c r="A23" s="442" t="n"/>
      <c r="B23" s="456" t="n"/>
      <c r="C23" s="64" t="n"/>
      <c r="D23" s="61">
        <f>IF(B23="","",CONCATENATE("INCMPRNW"))</f>
        <v/>
      </c>
      <c r="E23" s="61">
        <f>IF(C23="","",CONCATENATE("W"))</f>
        <v/>
      </c>
    </row>
    <row r="24" ht="16" customHeight="1" s="486">
      <c r="A24" s="533" t="inlineStr">
        <is>
          <t>Total</t>
        </is>
      </c>
      <c r="B24" s="481" t="n"/>
      <c r="C24" s="135">
        <f>SUM(C22:OFFSET(DtlIncomePaid.IncomePaidAdvanceListWTO,-1,0))</f>
        <v/>
      </c>
      <c r="D24" s="143" t="n"/>
      <c r="E24" s="143" t="n"/>
    </row>
    <row r="25" ht="15.75" customHeight="1" s="486">
      <c r="A25" s="144" t="n"/>
      <c r="B25" s="144" t="n"/>
      <c r="C25" s="144" t="n"/>
      <c r="D25" s="143" t="n"/>
      <c r="E25" s="143" t="n"/>
    </row>
    <row r="26" ht="15.75" customHeight="1" s="486">
      <c r="A26" s="144" t="n"/>
      <c r="B26" s="144" t="n"/>
      <c r="C26" s="144" t="n"/>
      <c r="D26" s="143" t="n"/>
      <c r="E26" s="143" t="n"/>
    </row>
    <row r="27" ht="15.75" customHeight="1" s="486">
      <c r="A27" s="144" t="n"/>
      <c r="B27" s="144" t="n"/>
      <c r="C27" s="144" t="n"/>
      <c r="D27" s="143" t="n"/>
      <c r="E27" s="143" t="n"/>
    </row>
    <row r="28" ht="21" customHeight="1" s="486">
      <c r="A28" s="575" t="inlineStr">
        <is>
          <t>Section Q2 : Self Assessment Tax</t>
        </is>
      </c>
      <c r="B28" s="491" t="n"/>
      <c r="C28" s="481" t="n"/>
      <c r="D28" s="143" t="n"/>
      <c r="E28" s="143" t="n"/>
    </row>
    <row r="29" ht="50.25" customHeight="1" s="486">
      <c r="A29" s="147" t="inlineStr">
        <is>
          <t>Payment Registration Number</t>
        </is>
      </c>
      <c r="B29" s="147" t="inlineStr">
        <is>
          <t>Date of Deposit</t>
        </is>
      </c>
      <c r="C29" s="147" t="inlineStr">
        <is>
          <t>Amount of Income Tax Paid (Ksh)</t>
        </is>
      </c>
      <c r="D29" s="32" t="inlineStr">
        <is>
          <t>schedule code</t>
        </is>
      </c>
      <c r="E29" s="32" t="inlineStr">
        <is>
          <t>spouse code</t>
        </is>
      </c>
    </row>
    <row r="30" ht="15.75" customHeight="1" s="486">
      <c r="A30" s="442" t="n"/>
      <c r="B30" s="456" t="n"/>
      <c r="C30" s="64" t="n"/>
      <c r="D30" s="61">
        <f>IF(B30="","",CONCATENATE("SFASPMTW"))</f>
        <v/>
      </c>
      <c r="E30" s="61">
        <f>IF(C30="","",CONCATENATE("W"))</f>
        <v/>
      </c>
    </row>
    <row r="31" ht="15.75" customHeight="1" s="486">
      <c r="A31" s="442" t="n"/>
      <c r="B31" s="456" t="n"/>
      <c r="C31" s="64" t="n"/>
      <c r="D31" s="61">
        <f>IF(B31="","",CONCATENATE("SFASPMTW"))</f>
        <v/>
      </c>
      <c r="E31" s="61">
        <f>IF(C31="","",CONCATENATE("W"))</f>
        <v/>
      </c>
    </row>
    <row r="32" ht="16.5" customHeight="1" s="486">
      <c r="A32" s="573" t="inlineStr">
        <is>
          <t>Total</t>
        </is>
      </c>
      <c r="B32" s="574" t="n"/>
      <c r="C32" s="135">
        <f>SUM(C30:OFFSET(DtlIncomePaid.IncomePaidSelfAssmntListWTO,-1,0))</f>
        <v/>
      </c>
      <c r="D32" s="143" t="n"/>
      <c r="E32" s="143" t="n"/>
    </row>
    <row r="33" ht="16.5" customHeight="1" s="486">
      <c r="A33" s="572" t="inlineStr">
        <is>
          <t xml:space="preserve">Total (Section Q1 Total + Section Q2 Total) </t>
        </is>
      </c>
      <c r="B33" s="515" t="n"/>
      <c r="C33" s="135">
        <f>SUM(DtlIncomePaid.IncomePaidAdvanceListWTO,DtlIncomePaid.IncomePaidSelfAssmntListWTO)</f>
        <v/>
      </c>
      <c r="D33" s="143" t="n"/>
      <c r="E33" s="143" t="n"/>
    </row>
    <row r="34" ht="37.5" customHeight="1" s="486">
      <c r="A34" s="144" t="n"/>
      <c r="B34" s="144" t="n"/>
      <c r="C34" s="144" t="n"/>
      <c r="D34" s="143" t="n"/>
      <c r="E34" s="143" t="n"/>
    </row>
    <row r="35" ht="37.5" customHeight="1" s="486">
      <c r="A35" s="144" t="n"/>
      <c r="B35" s="144" t="n"/>
      <c r="C35" s="144" t="n"/>
      <c r="D35" s="143" t="n"/>
      <c r="E35" s="143" t="n"/>
    </row>
  </sheetData>
  <sheetProtection selectLockedCells="0" selectUnlockedCells="0" algorithmName="SHA-512" sheet="1" objects="1" insertRows="1" insertHyperlinks="1" autoFilter="1" scenarios="1" formatColumns="1" deleteColumns="1" insertColumns="1" pivotTables="1" deleteRows="1" formatCells="1" saltValue="dSVxyQfx0Rk611m/qKFHqA==" formatRows="1" sort="1" spinCount="100000" hashValue="Q6hfFOYdHYECz8+sRnSe/wxR89zSNPSO2zknzjbupMbOKhAzODdZxpqeLKIhcBiomgsAhCYIE17MabHVyy2Etw=="/>
  <mergeCells count="12">
    <mergeCell ref="A10:C10"/>
    <mergeCell ref="A28:C28"/>
    <mergeCell ref="A24:B24"/>
    <mergeCell ref="A19:C19"/>
    <mergeCell ref="A15:B15"/>
    <mergeCell ref="A1:C1"/>
    <mergeCell ref="A33:B33"/>
    <mergeCell ref="A32:B32"/>
    <mergeCell ref="A14:B14"/>
    <mergeCell ref="A20:C20"/>
    <mergeCell ref="A6:B6"/>
    <mergeCell ref="A2:C2"/>
  </mergeCells>
  <dataValidations count="3">
    <dataValidation sqref="A4:A5 A12:A13 A22:A23 A30:A31" showDropDown="0" showInputMessage="1" showErrorMessage="1" allowBlank="0" errorTitle="Data Error:" error="Please enter Numeric value of length less than or equal to 20  characters." promptTitle="Numeric:" prompt="Enter Numeric value of length less than or equal to 20  characters.Special characters like - is allowed." type="textLength" operator="lessThanOrEqual">
      <formula1>20</formula1>
    </dataValidation>
    <dataValidation sqref="B4:B5 B12:B13 B22:B23 B30:B31" showDropDown="0" showInputMessage="1" showErrorMessage="0" allowBlank="0" errorTitle="Data Error:" error="Please enter date value in dd/mm/yyyy format." promptTitle="Date:" prompt="Enter date value in dd/mm/yyyy format."/>
    <dataValidation sqref="C4:C5 C12:C13 C22:C23 C30:C31"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s>
  <pageMargins left="0.7" right="0.7" top="0.75" bottom="0.75" header="0.3" footer="0.3"/>
  <pageSetup orientation="portrait"/>
  <drawing r:id="rId1"/>
</worksheet>
</file>

<file path=xl/worksheets/sheet29.xml><?xml version="1.0" encoding="utf-8"?>
<worksheet xmlns:r="http://schemas.openxmlformats.org/officeDocument/2006/relationships" xmlns="http://schemas.openxmlformats.org/spreadsheetml/2006/main">
  <sheetPr codeName="Sheet24">
    <outlinePr summaryBelow="1" summaryRight="1"/>
    <pageSetUpPr/>
  </sheetPr>
  <dimension ref="A1:G15"/>
  <sheetViews>
    <sheetView workbookViewId="0">
      <selection activeCell="A3" sqref="A3"/>
    </sheetView>
  </sheetViews>
  <sheetFormatPr baseColWidth="10" defaultColWidth="0" defaultRowHeight="15" zeroHeight="1"/>
  <cols>
    <col width="27.6640625" customWidth="1" style="486" min="1" max="5"/>
    <col width="10.6640625" customWidth="1" style="486" min="6" max="7"/>
    <col hidden="1" width="25.1640625" customWidth="1" style="486" min="8" max="8"/>
    <col hidden="1" width="25.1640625" customWidth="1" style="486" min="9" max="16384"/>
  </cols>
  <sheetData>
    <row r="1" ht="31.5" customHeight="1" s="486">
      <c r="A1" s="505" t="inlineStr">
        <is>
          <t>Section R : Details of Double Taxation Avoidance Agreement (Self)</t>
        </is>
      </c>
      <c r="B1" s="491" t="n"/>
      <c r="C1" s="491" t="n"/>
      <c r="D1" s="491" t="n"/>
      <c r="E1" s="481" t="n"/>
      <c r="F1" s="143" t="n"/>
      <c r="G1" s="143" t="n"/>
    </row>
    <row r="2" ht="35.25" customHeight="1" s="486">
      <c r="A2" s="147" t="inlineStr">
        <is>
          <t>Country</t>
        </is>
      </c>
      <c r="B2" s="147" t="inlineStr">
        <is>
          <t>Document Reference Number</t>
        </is>
      </c>
      <c r="C2" s="147" t="inlineStr">
        <is>
          <t xml:space="preserve">Date of Deduction </t>
        </is>
      </c>
      <c r="D2" s="147" t="inlineStr">
        <is>
          <t>Gross Employment Income</t>
        </is>
      </c>
      <c r="E2" s="147" t="inlineStr">
        <is>
          <t>Amount of Tax Relief (Ksh)</t>
        </is>
      </c>
      <c r="F2" s="143" t="n"/>
      <c r="G2" s="143" t="n"/>
    </row>
    <row r="3" ht="16" customHeight="1" s="486">
      <c r="A3" s="301" t="n"/>
      <c r="B3" s="301" t="n"/>
      <c r="C3" s="302" t="n"/>
      <c r="D3" s="303" t="n"/>
      <c r="E3" s="303" t="n"/>
      <c r="F3" s="443">
        <f>IF(ISERROR(LOOKUP(A3,CountryName,CountryId)),"",LOOKUP(A3,CountryName,CountryId))</f>
        <v/>
      </c>
      <c r="G3" s="443">
        <f>IF(COUNTBLANK(A3:E3)=4,"","H")</f>
        <v/>
      </c>
    </row>
    <row r="4" ht="16" customHeight="1" s="486">
      <c r="A4" s="30" t="n"/>
      <c r="B4" s="30" t="n"/>
      <c r="C4" s="257" t="n"/>
      <c r="D4" s="55" t="n"/>
      <c r="E4" s="55" t="n"/>
      <c r="F4" s="443">
        <f>IF(ISERROR(LOOKUP(A4,CountryName,CountryId)),"",LOOKUP(A4,CountryName,CountryId))</f>
        <v/>
      </c>
      <c r="G4" s="443">
        <f>IF(COUNTBLANK(A4:E4)=4,"","H")</f>
        <v/>
      </c>
    </row>
    <row r="5" ht="16" customHeight="1" s="486">
      <c r="A5" s="576" t="inlineStr">
        <is>
          <t>Total</t>
        </is>
      </c>
      <c r="B5" s="514" t="n"/>
      <c r="C5" s="577" t="n"/>
      <c r="D5" s="446">
        <f>SUM(D3:OFFSET(DTAEMPIncomeS,-1,0))</f>
        <v/>
      </c>
      <c r="E5" s="300">
        <f>SUM(E3:OFFSET(DTAACredits.AmountTotalS,-1,0))</f>
        <v/>
      </c>
      <c r="F5" s="444" t="n"/>
      <c r="G5" s="443" t="n"/>
    </row>
    <row r="6">
      <c r="A6" s="144" t="n"/>
      <c r="B6" s="144" t="n"/>
      <c r="C6" s="144" t="n"/>
      <c r="D6" s="144" t="n"/>
      <c r="E6" s="144" t="n"/>
      <c r="F6" s="443" t="n"/>
      <c r="G6" s="443" t="n"/>
    </row>
    <row r="7">
      <c r="A7" s="144" t="n"/>
      <c r="B7" s="144" t="n"/>
      <c r="C7" s="144" t="n"/>
      <c r="D7" s="144" t="n"/>
      <c r="E7" s="144" t="n"/>
      <c r="F7" s="144" t="n"/>
      <c r="G7" s="143" t="n"/>
    </row>
    <row r="8">
      <c r="A8" s="144" t="n"/>
      <c r="B8" s="144" t="n"/>
      <c r="C8" s="144" t="n"/>
      <c r="D8" s="144" t="n"/>
      <c r="E8" s="144" t="n"/>
      <c r="F8" s="144" t="n"/>
      <c r="G8" s="143" t="n"/>
    </row>
    <row r="9" ht="31.5" customHeight="1" s="486">
      <c r="A9" s="505" t="inlineStr">
        <is>
          <t>Section R : Details of Double Taxation Avoidance Agreement (Wife)</t>
        </is>
      </c>
      <c r="B9" s="491" t="n"/>
      <c r="C9" s="491" t="n"/>
      <c r="D9" s="491" t="n"/>
      <c r="E9" s="481" t="n"/>
      <c r="F9" s="143" t="n"/>
      <c r="G9" s="143" t="n"/>
    </row>
    <row r="10" ht="35.25" customHeight="1" s="486">
      <c r="A10" s="147" t="inlineStr">
        <is>
          <t>Country</t>
        </is>
      </c>
      <c r="B10" s="147" t="inlineStr">
        <is>
          <t>Document Reference Number</t>
        </is>
      </c>
      <c r="C10" s="147" t="inlineStr">
        <is>
          <t xml:space="preserve">Date of Deduction </t>
        </is>
      </c>
      <c r="D10" s="147" t="inlineStr">
        <is>
          <t>Gross Employment Income</t>
        </is>
      </c>
      <c r="E10" s="147" t="inlineStr">
        <is>
          <t>Amount of Tax Relief (Ksh)</t>
        </is>
      </c>
      <c r="F10" s="143" t="n"/>
      <c r="G10" s="143" t="n"/>
    </row>
    <row r="11" ht="16" customHeight="1" s="486">
      <c r="A11" s="470" t="n"/>
      <c r="B11" s="470" t="n"/>
      <c r="C11" s="471" t="n"/>
      <c r="D11" s="472" t="n"/>
      <c r="E11" s="472" t="n"/>
      <c r="F11" s="143">
        <f>IF(ISERROR(LOOKUP(A11,CountryName,CountryId)),"",LOOKUP(A11,CountryName,CountryId))</f>
        <v/>
      </c>
      <c r="G11" s="143">
        <f>IF(COUNTBLANK(A11:E11)=4,"","W")</f>
        <v/>
      </c>
    </row>
    <row r="12" ht="16" customHeight="1" s="486">
      <c r="A12" s="587" t="n"/>
      <c r="B12" s="587" t="n"/>
      <c r="C12" s="456" t="n"/>
      <c r="D12" s="64" t="n"/>
      <c r="E12" s="64" t="n"/>
      <c r="F12" s="143">
        <f>IF(ISERROR(LOOKUP(A12,CountryName,CountryId)),"",LOOKUP(A12,CountryName,CountryId))</f>
        <v/>
      </c>
      <c r="G12" s="143">
        <f>IF(COUNTBLANK(A12:E12)=4,"","W")</f>
        <v/>
      </c>
    </row>
    <row r="13" ht="16.5" customHeight="1" s="486">
      <c r="A13" s="576" t="inlineStr">
        <is>
          <t>Total</t>
        </is>
      </c>
      <c r="B13" s="514" t="n"/>
      <c r="C13" s="577" t="n"/>
      <c r="D13" s="446">
        <f>SUM(D11:OFFSET(DTAACredits.AmountTotalW,-1,0))</f>
        <v/>
      </c>
      <c r="E13" s="300">
        <f>SUM(E11:OFFSET(DTAACredits.AmountTotalW,-1,0))</f>
        <v/>
      </c>
      <c r="F13" s="304" t="n"/>
      <c r="G13" s="143" t="n"/>
    </row>
    <row r="14" ht="37.5" customHeight="1" s="486">
      <c r="A14" s="144" t="n"/>
      <c r="B14" s="144" t="n"/>
      <c r="C14" s="144" t="n"/>
      <c r="D14" s="144" t="n"/>
      <c r="E14" s="144" t="n"/>
      <c r="F14" s="144" t="n"/>
      <c r="G14" s="143" t="n"/>
    </row>
    <row r="15" ht="37.5" customHeight="1" s="486">
      <c r="A15" s="144" t="n"/>
      <c r="B15" s="144" t="n"/>
      <c r="C15" s="144" t="n"/>
      <c r="D15" s="144" t="n"/>
      <c r="E15" s="144" t="n"/>
      <c r="F15" s="144" t="n"/>
      <c r="G15" s="143" t="n"/>
    </row>
  </sheetData>
  <sheetProtection selectLockedCells="0" selectUnlockedCells="0" algorithmName="SHA-512" sheet="1" objects="1" insertRows="1" insertHyperlinks="1" autoFilter="1" scenarios="1" formatColumns="1" deleteColumns="1" insertColumns="1" pivotTables="1" deleteRows="1" formatCells="1" saltValue="gpXu9scEYpRdKiSnd8keEg==" formatRows="1" sort="1" spinCount="100000" hashValue="Y0JuqxBcS7rNTZEArky/DJVAuEpymL6C4+jNPzeoSyEJuoLcwB04MC8VMvsjxFL3pgan8MnSN7nFxnu0cMirRQ=="/>
  <mergeCells count="4">
    <mergeCell ref="A5:C5"/>
    <mergeCell ref="A1:E1"/>
    <mergeCell ref="A13:C13"/>
    <mergeCell ref="A9:E9"/>
  </mergeCells>
  <dataValidations xWindow="1056" yWindow="365" count="8">
    <dataValidation sqref="C3:C4 C11:C12" showDropDown="0" showInputMessage="1" showErrorMessage="0" allowBlank="0" errorTitle="Data Error:" error="Please enter positive numeric value of length less than or equal to 15 digit." promptTitle="Date:" prompt="Enter date value in dd/mm/yyyy format."/>
    <dataValidation sqref="E3:E8 E11:E13"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B3:B4 B11:B12" showDropDown="0" showInputMessage="1" showErrorMessage="1" allowBlank="0" errorTitle="Data Error:" error="Please enter alphanumeric value of length less than or equal to 20  characters." promptTitle="Alphanumeric:" prompt="Enter alphanumeric value of length less than or equal to 20  characters.Special characters like Space is allowed." type="textLength" operator="lessThanOrEqual">
      <formula1>20</formula1>
    </dataValidation>
    <dataValidation sqref="A3:A4 A11:A12" showDropDown="0" showInputMessage="1" showErrorMessage="1" allowBlank="0" errorTitle="Data Error:" error="Please select data from DropDown Only." promptTitle="List:" prompt="Select data from DropDown List." type="list">
      <formula1>CountryNameDtaa</formula1>
    </dataValidation>
    <dataValidation sqref="D3" showDropDown="0" showInputMessage="1" showErrorMessage="0" allowBlank="0" errorTitle="Data Error:" error="Please enter positive numeric value of length less than or equal to 15 digit." promptTitle="Date:" prompt="Enter date value in dd/mm/yyyy format." type="decimal">
      <formula1>0</formula1>
      <formula2>1E+34</formula2>
    </dataValidation>
    <dataValidation sqref="D4" showDropDown="0" showInputMessage="1" showErrorMessage="0" allowBlank="0" errorTitle="Data Error:" error="Please enter positive numeric value of length less than or equal to 15 digit." promptTitle="Date:" prompt="Enter date value in dd/mm/yyyy format." type="decimal">
      <formula1>0</formula1>
      <formula2>1E+41</formula2>
    </dataValidation>
    <dataValidation sqref="D11" showDropDown="0" showInputMessage="1" showErrorMessage="0" allowBlank="0" errorTitle="Data Error:" error="Please enter positive numeric value of length less than or equal to 15 digit." promptTitle="Date:" prompt="Enter date value in dd/mm/yyyy format." type="decimal">
      <formula1>0</formula1>
      <formula2>1E+36</formula2>
    </dataValidation>
    <dataValidation sqref="D12" showDropDown="0" showInputMessage="1" showErrorMessage="0" allowBlank="0" errorTitle="Data Error:" error="Please enter positive numeric value of length less than or equal to 15 digit." promptTitle="Date:" prompt="Enter date value in dd/mm/yyyy format." type="decimal">
      <formula1>0</formula1>
      <formula2>1E+33</formula2>
    </dataValidation>
  </dataValidations>
  <pageMargins left="0.7" right="0.7" top="0.75" bottom="0.75" header="0.3" footer="0.3"/>
  <pageSetup orientation="portrait" paperSize="9"/>
  <drawing r:id="rId1"/>
</worksheet>
</file>

<file path=xl/worksheets/sheet30.xml><?xml version="1.0" encoding="utf-8"?>
<worksheet xmlns:r="http://schemas.openxmlformats.org/officeDocument/2006/relationships" xmlns="http://schemas.openxmlformats.org/spreadsheetml/2006/main">
  <sheetPr codeName="Sheet23">
    <outlinePr summaryBelow="1" summaryRight="1"/>
    <pageSetUpPr/>
  </sheetPr>
  <dimension ref="A1:I49"/>
  <sheetViews>
    <sheetView workbookViewId="0">
      <selection activeCell="C9" sqref="C9"/>
    </sheetView>
  </sheetViews>
  <sheetFormatPr baseColWidth="10" defaultColWidth="0" defaultRowHeight="15" customHeight="1" zeroHeight="1"/>
  <cols>
    <col width="9.1640625" customWidth="1" style="486" min="1" max="1"/>
    <col width="27.6640625" customWidth="1" style="486" min="2" max="9"/>
  </cols>
  <sheetData>
    <row r="1" ht="31.5" customHeight="1" s="486">
      <c r="A1" s="578" t="inlineStr">
        <is>
          <t>Section S : Details of Losses Brought Forward and Carried Forward (Self)</t>
        </is>
      </c>
      <c r="B1" s="514" t="n"/>
      <c r="C1" s="514" t="n"/>
      <c r="D1" s="514" t="n"/>
      <c r="E1" s="514" t="n"/>
      <c r="F1" s="514" t="n"/>
      <c r="G1" s="514" t="n"/>
      <c r="H1" s="514" t="n"/>
      <c r="I1" s="514" t="n"/>
    </row>
    <row r="2" ht="21" customHeight="1" s="486">
      <c r="A2" s="545" t="inlineStr">
        <is>
          <t>Sr. No.</t>
        </is>
      </c>
      <c r="B2" s="545" t="inlineStr">
        <is>
          <t>Financial Year</t>
        </is>
      </c>
      <c r="C2" s="545" t="inlineStr">
        <is>
          <t>Business (Ksh)</t>
        </is>
      </c>
      <c r="D2" s="545" t="inlineStr">
        <is>
          <t>Farming (Ksh)</t>
        </is>
      </c>
      <c r="E2" s="545" t="inlineStr">
        <is>
          <t>Rental (Ksh)</t>
        </is>
      </c>
      <c r="F2" s="545" t="inlineStr">
        <is>
          <t>Interest (Ksh)</t>
        </is>
      </c>
      <c r="G2" s="545" t="inlineStr">
        <is>
          <t>Commission (Ksh)</t>
        </is>
      </c>
      <c r="H2" s="545" t="inlineStr">
        <is>
          <t>Other (Ksh)</t>
        </is>
      </c>
      <c r="I2" s="545" t="inlineStr">
        <is>
          <t>Total (Ksh)</t>
        </is>
      </c>
    </row>
    <row r="3" ht="17" customHeight="1" s="486">
      <c r="A3" s="267" t="n"/>
      <c r="B3" s="268" t="inlineStr">
        <is>
          <t>Loss B/f</t>
        </is>
      </c>
      <c r="C3" s="269" t="inlineStr">
        <is>
          <t>A</t>
        </is>
      </c>
      <c r="D3" s="269" t="inlineStr">
        <is>
          <t>B</t>
        </is>
      </c>
      <c r="E3" s="269" t="inlineStr">
        <is>
          <t>C</t>
        </is>
      </c>
      <c r="F3" s="269" t="inlineStr">
        <is>
          <t>D</t>
        </is>
      </c>
      <c r="G3" s="269" t="inlineStr">
        <is>
          <t>E</t>
        </is>
      </c>
      <c r="H3" s="269" t="inlineStr">
        <is>
          <t>F</t>
        </is>
      </c>
      <c r="I3" s="269" t="inlineStr">
        <is>
          <t>(A to F)</t>
        </is>
      </c>
    </row>
    <row r="4" ht="17" customHeight="1" s="486">
      <c r="A4" s="270" t="n">
        <v>1</v>
      </c>
      <c r="B4" s="271">
        <f>RetInf.NinthLastYear</f>
        <v/>
      </c>
      <c r="C4" s="55" t="n"/>
      <c r="D4" s="55" t="n"/>
      <c r="E4" s="55" t="n"/>
      <c r="F4" s="55" t="n"/>
      <c r="G4" s="55" t="n"/>
      <c r="H4" s="55" t="n"/>
      <c r="I4" s="139">
        <f>SUM(C4:H4)</f>
        <v/>
      </c>
    </row>
    <row r="5" ht="17" customHeight="1" s="486">
      <c r="A5" s="270" t="n">
        <v>2</v>
      </c>
      <c r="B5" s="271">
        <f>RetInf.EighthLastYear</f>
        <v/>
      </c>
      <c r="C5" s="55" t="n"/>
      <c r="D5" s="55" t="n"/>
      <c r="E5" s="55" t="n"/>
      <c r="F5" s="55" t="n"/>
      <c r="G5" s="55" t="n"/>
      <c r="H5" s="55" t="n"/>
      <c r="I5" s="139">
        <f>SUM(C5:H5)</f>
        <v/>
      </c>
    </row>
    <row r="6" ht="17" customHeight="1" s="486">
      <c r="A6" s="270" t="n">
        <v>3</v>
      </c>
      <c r="B6" s="271">
        <f>RetInf.SeventhLastYear</f>
        <v/>
      </c>
      <c r="C6" s="55" t="n"/>
      <c r="D6" s="55" t="n"/>
      <c r="E6" s="55" t="n"/>
      <c r="F6" s="55" t="n"/>
      <c r="G6" s="55" t="n"/>
      <c r="H6" s="55" t="n"/>
      <c r="I6" s="139">
        <f>SUM(C6:H6)</f>
        <v/>
      </c>
    </row>
    <row r="7" ht="17" customHeight="1" s="486">
      <c r="A7" s="270" t="n">
        <v>4</v>
      </c>
      <c r="B7" s="271">
        <f>RetInf.SixthLastYear</f>
        <v/>
      </c>
      <c r="C7" s="55" t="n"/>
      <c r="D7" s="55" t="n"/>
      <c r="E7" s="55" t="n"/>
      <c r="F7" s="55" t="n"/>
      <c r="G7" s="55" t="n"/>
      <c r="H7" s="55" t="n"/>
      <c r="I7" s="139">
        <f>SUM(C7:H7)</f>
        <v/>
      </c>
    </row>
    <row r="8" ht="17" customHeight="1" s="486">
      <c r="A8" s="270" t="n">
        <v>5</v>
      </c>
      <c r="B8" s="271">
        <f>RetInf.FifthLastYear</f>
        <v/>
      </c>
      <c r="C8" s="55" t="n"/>
      <c r="D8" s="55" t="n"/>
      <c r="E8" s="55" t="n"/>
      <c r="F8" s="55" t="n"/>
      <c r="G8" s="55" t="n"/>
      <c r="H8" s="55" t="n"/>
      <c r="I8" s="139">
        <f>SUM(C8:H8)</f>
        <v/>
      </c>
    </row>
    <row r="9" ht="17" customHeight="1" s="486">
      <c r="A9" s="270" t="n">
        <v>6</v>
      </c>
      <c r="B9" s="271">
        <f>RetInf.FourthLastYear</f>
        <v/>
      </c>
      <c r="C9" s="55" t="n"/>
      <c r="D9" s="55" t="n"/>
      <c r="E9" s="55" t="n"/>
      <c r="F9" s="55" t="n"/>
      <c r="G9" s="55" t="n"/>
      <c r="H9" s="55" t="n"/>
      <c r="I9" s="139">
        <f>SUM(C9:H9)</f>
        <v/>
      </c>
    </row>
    <row r="10" ht="17" customHeight="1" s="486">
      <c r="A10" s="270" t="n">
        <v>7</v>
      </c>
      <c r="B10" s="272">
        <f>RetInf.ThirdLastYear</f>
        <v/>
      </c>
      <c r="C10" s="55" t="n"/>
      <c r="D10" s="55" t="n"/>
      <c r="E10" s="55" t="n"/>
      <c r="F10" s="55" t="n"/>
      <c r="G10" s="55" t="n"/>
      <c r="H10" s="55" t="n"/>
      <c r="I10" s="139">
        <f>SUM(C10:H10)</f>
        <v/>
      </c>
    </row>
    <row r="11" ht="17" customHeight="1" s="486">
      <c r="A11" s="270" t="n">
        <v>8</v>
      </c>
      <c r="B11" s="272">
        <f>RetInf.SecLastYear</f>
        <v/>
      </c>
      <c r="C11" s="55" t="n"/>
      <c r="D11" s="55" t="n"/>
      <c r="E11" s="55" t="n"/>
      <c r="F11" s="55" t="n"/>
      <c r="G11" s="55" t="n"/>
      <c r="H11" s="55" t="n"/>
      <c r="I11" s="139">
        <f>SUM(C11:H11)</f>
        <v/>
      </c>
    </row>
    <row r="12" ht="17" customHeight="1" s="486">
      <c r="A12" s="270" t="n">
        <v>9</v>
      </c>
      <c r="B12" s="272">
        <f>RetInf.LastYear</f>
        <v/>
      </c>
      <c r="C12" s="55" t="n"/>
      <c r="D12" s="55" t="n"/>
      <c r="E12" s="55" t="n"/>
      <c r="F12" s="55" t="n"/>
      <c r="G12" s="55" t="n"/>
      <c r="H12" s="55" t="n"/>
      <c r="I12" s="139">
        <f>SUM(C12:H12)</f>
        <v/>
      </c>
    </row>
    <row r="13" ht="34" customHeight="1" s="486">
      <c r="A13" s="273" t="n">
        <v>10</v>
      </c>
      <c r="B13" s="268" t="inlineStr">
        <is>
          <t>Total of earlier year losses B/f (1+2+3+4+5+6+7+8+9)</t>
        </is>
      </c>
      <c r="C13" s="139">
        <f>SUM(C4:C12)</f>
        <v/>
      </c>
      <c r="D13" s="139">
        <f>SUM(D4:D12)</f>
        <v/>
      </c>
      <c r="E13" s="139">
        <f>SUM(E4:E12)</f>
        <v/>
      </c>
      <c r="F13" s="139">
        <f>SUM(F4:F12)</f>
        <v/>
      </c>
      <c r="G13" s="139">
        <f>SUM(G4:G12)</f>
        <v/>
      </c>
      <c r="H13" s="139">
        <f>SUM(H4:H12)</f>
        <v/>
      </c>
      <c r="I13" s="139">
        <f>SUM(C13:H13)</f>
        <v/>
      </c>
    </row>
    <row r="14" ht="17" customHeight="1" s="486">
      <c r="A14" s="270" t="n">
        <v>11</v>
      </c>
      <c r="B14" s="272" t="inlineStr">
        <is>
          <t>Losses Adjusted</t>
        </is>
      </c>
      <c r="C14" s="55" t="n"/>
      <c r="D14" s="55" t="n"/>
      <c r="E14" s="55" t="n"/>
      <c r="F14" s="55" t="n"/>
      <c r="G14" s="55" t="n"/>
      <c r="H14" s="55" t="n"/>
      <c r="I14" s="139">
        <f>SUM(C14:H14)</f>
        <v/>
      </c>
    </row>
    <row r="15" ht="17" customHeight="1" s="486">
      <c r="A15" s="273" t="n">
        <v>12</v>
      </c>
      <c r="B15" s="268" t="inlineStr">
        <is>
          <t>Losses C/f (10-11)</t>
        </is>
      </c>
      <c r="C15" s="139">
        <f>(ROUND(C13,2)-ROUND(C14,2))</f>
        <v/>
      </c>
      <c r="D15" s="139">
        <f>(ROUND(D13,2)-ROUND(D14,2))</f>
        <v/>
      </c>
      <c r="E15" s="139">
        <f>(ROUND(E13,2)-ROUND(E14,2))</f>
        <v/>
      </c>
      <c r="F15" s="139">
        <f>(ROUND(F13,2)-ROUND(F14,2))</f>
        <v/>
      </c>
      <c r="G15" s="139">
        <f>(ROUND(G13,2)-ROUND(G14,2))</f>
        <v/>
      </c>
      <c r="H15" s="139">
        <f>(ROUND(H13,2)-ROUND(H14,2))</f>
        <v/>
      </c>
      <c r="I15" s="139">
        <f>SUM(C15:H15)</f>
        <v/>
      </c>
    </row>
    <row r="16" ht="51" customHeight="1" s="486">
      <c r="A16" s="270" t="n">
        <v>13</v>
      </c>
      <c r="B16" s="272" t="inlineStr">
        <is>
          <t>Current year loss (T_Income_Computation_Self Line Number 12)</t>
        </is>
      </c>
      <c r="C16" s="139">
        <f>IF(TC.BussTaxableIncomeS&lt;0,(-TC.BussTaxableIncomeS),0)</f>
        <v/>
      </c>
      <c r="D16" s="139">
        <f>IF(TC.FarmTaxableIncomeS&lt;0,(-TC.FarmTaxableIncomeS),0)</f>
        <v/>
      </c>
      <c r="E16" s="139">
        <f>IF(TC.RentTaxableIncomeS&lt;0,(-TC.RentTaxableIncomeS),0)</f>
        <v/>
      </c>
      <c r="F16" s="139">
        <f>IF(TC.IntrTaxableIncomeS&lt;0,(-TC.IntrTaxableIncomeS),0)</f>
        <v/>
      </c>
      <c r="G16" s="139">
        <f>IF(TC.CommTaxableIncomeS&lt;0,(-TC.CommTaxableIncomeS),0)</f>
        <v/>
      </c>
      <c r="H16" s="139">
        <f>IF(TC.OtherTaxableIncomeS&lt;0,(-TC.OtherTaxableIncomeS),0)</f>
        <v/>
      </c>
      <c r="I16" s="139">
        <f>SUM(C16:H16)</f>
        <v/>
      </c>
    </row>
    <row r="17" ht="34" customHeight="1" s="486">
      <c r="A17" s="273" t="n">
        <v>14</v>
      </c>
      <c r="B17" s="268" t="inlineStr">
        <is>
          <t>Total Loss carried forward to future (12+13)</t>
        </is>
      </c>
      <c r="C17" s="139">
        <f>SUM(C15+C16)</f>
        <v/>
      </c>
      <c r="D17" s="139">
        <f>SUM(D15+D16)</f>
        <v/>
      </c>
      <c r="E17" s="139">
        <f>SUM(E15+E16)</f>
        <v/>
      </c>
      <c r="F17" s="139">
        <f>SUM(F15+F16)</f>
        <v/>
      </c>
      <c r="G17" s="139">
        <f>SUM(G15+G16)</f>
        <v/>
      </c>
      <c r="H17" s="139">
        <f>SUM(H15+H16)</f>
        <v/>
      </c>
      <c r="I17" s="139">
        <f>SUM(C17:H17)</f>
        <v/>
      </c>
    </row>
    <row r="18" ht="16.5" customHeight="1" s="486">
      <c r="A18" s="274" t="n"/>
      <c r="B18" s="274" t="n"/>
      <c r="C18" s="274" t="inlineStr">
        <is>
          <t>LOSSBUSH</t>
        </is>
      </c>
      <c r="D18" s="274" t="inlineStr">
        <is>
          <t>LOSSFRMH</t>
        </is>
      </c>
      <c r="E18" s="274" t="inlineStr">
        <is>
          <t>LOSSRNTH</t>
        </is>
      </c>
      <c r="F18" s="274" t="inlineStr">
        <is>
          <t>LOSSINTH</t>
        </is>
      </c>
      <c r="G18" s="274" t="inlineStr">
        <is>
          <t>LOSSCOMH</t>
        </is>
      </c>
      <c r="H18" s="274" t="inlineStr">
        <is>
          <t>LOSSOTHH</t>
        </is>
      </c>
      <c r="I18" s="274" t="inlineStr">
        <is>
          <t>LOSSTOTH</t>
        </is>
      </c>
    </row>
    <row r="19" ht="16.5" customHeight="1" s="486">
      <c r="A19" s="274" t="n"/>
      <c r="B19" s="274" t="n"/>
      <c r="C19" s="274" t="n"/>
      <c r="D19" s="274" t="n"/>
      <c r="E19" s="274" t="n"/>
      <c r="F19" s="274" t="n"/>
      <c r="G19" s="274" t="n"/>
      <c r="H19" s="274" t="n"/>
      <c r="I19" s="274" t="n"/>
    </row>
    <row r="20" ht="31.5" customHeight="1" s="486">
      <c r="A20" s="578" t="inlineStr">
        <is>
          <t>Section S : Details of Losses Brought Forward and Carried Forward (Wife)</t>
        </is>
      </c>
      <c r="B20" s="514" t="n"/>
      <c r="C20" s="514" t="n"/>
      <c r="D20" s="514" t="n"/>
      <c r="E20" s="514" t="n"/>
      <c r="F20" s="514" t="n"/>
      <c r="G20" s="514" t="n"/>
      <c r="H20" s="514" t="n"/>
      <c r="I20" s="514" t="n"/>
    </row>
    <row r="21" ht="21" customHeight="1" s="486">
      <c r="A21" s="545" t="inlineStr">
        <is>
          <t>Sr. No.</t>
        </is>
      </c>
      <c r="B21" s="545" t="inlineStr">
        <is>
          <t>Financial Year</t>
        </is>
      </c>
      <c r="C21" s="545" t="inlineStr">
        <is>
          <t>Business (Ksh)</t>
        </is>
      </c>
      <c r="D21" s="545" t="inlineStr">
        <is>
          <t>Farming (Ksh)</t>
        </is>
      </c>
      <c r="E21" s="545" t="inlineStr">
        <is>
          <t>Rental (Ksh)</t>
        </is>
      </c>
      <c r="F21" s="545" t="inlineStr">
        <is>
          <t>Interest (Ksh)</t>
        </is>
      </c>
      <c r="G21" s="545" t="inlineStr">
        <is>
          <t>Commission (Ksh)</t>
        </is>
      </c>
      <c r="H21" s="545" t="inlineStr">
        <is>
          <t>Other (Ksh)</t>
        </is>
      </c>
      <c r="I21" s="545" t="inlineStr">
        <is>
          <t>Total (Ksh)</t>
        </is>
      </c>
    </row>
    <row r="22" ht="17" customHeight="1" s="486">
      <c r="A22" s="267" t="n"/>
      <c r="B22" s="268" t="inlineStr">
        <is>
          <t>Loss B/f</t>
        </is>
      </c>
      <c r="C22" s="269" t="inlineStr">
        <is>
          <t>A</t>
        </is>
      </c>
      <c r="D22" s="269" t="inlineStr">
        <is>
          <t>B</t>
        </is>
      </c>
      <c r="E22" s="269" t="inlineStr">
        <is>
          <t>C</t>
        </is>
      </c>
      <c r="F22" s="269" t="inlineStr">
        <is>
          <t>D</t>
        </is>
      </c>
      <c r="G22" s="269" t="inlineStr">
        <is>
          <t>E</t>
        </is>
      </c>
      <c r="H22" s="269" t="inlineStr">
        <is>
          <t>F</t>
        </is>
      </c>
      <c r="I22" s="269" t="inlineStr">
        <is>
          <t>(A to F)</t>
        </is>
      </c>
    </row>
    <row r="23" ht="17" customHeight="1" s="486">
      <c r="A23" s="270" t="n">
        <v>1</v>
      </c>
      <c r="B23" s="271">
        <f>RetInf.NinthLastYear</f>
        <v/>
      </c>
      <c r="C23" s="64" t="n"/>
      <c r="D23" s="64" t="n"/>
      <c r="E23" s="64" t="n"/>
      <c r="F23" s="64" t="n"/>
      <c r="G23" s="64" t="n"/>
      <c r="H23" s="64" t="n"/>
      <c r="I23" s="139">
        <f>SUM(C23:H23)</f>
        <v/>
      </c>
    </row>
    <row r="24" ht="17" customHeight="1" s="486">
      <c r="A24" s="270" t="n">
        <v>2</v>
      </c>
      <c r="B24" s="271">
        <f>RetInf.EighthLastYear</f>
        <v/>
      </c>
      <c r="C24" s="64" t="n"/>
      <c r="D24" s="64" t="n"/>
      <c r="E24" s="64" t="n"/>
      <c r="F24" s="64" t="n"/>
      <c r="G24" s="64" t="n"/>
      <c r="H24" s="64" t="n"/>
      <c r="I24" s="139">
        <f>SUM(C24:H24)</f>
        <v/>
      </c>
    </row>
    <row r="25" ht="17" customHeight="1" s="486">
      <c r="A25" s="270" t="n">
        <v>3</v>
      </c>
      <c r="B25" s="271">
        <f>RetInf.SeventhLastYear</f>
        <v/>
      </c>
      <c r="C25" s="64" t="n"/>
      <c r="D25" s="64" t="n"/>
      <c r="E25" s="64" t="n"/>
      <c r="F25" s="64" t="n"/>
      <c r="G25" s="64" t="n"/>
      <c r="H25" s="64" t="n"/>
      <c r="I25" s="139">
        <f>SUM(C25:H25)</f>
        <v/>
      </c>
    </row>
    <row r="26" ht="17" customHeight="1" s="486">
      <c r="A26" s="270" t="n">
        <v>4</v>
      </c>
      <c r="B26" s="271">
        <f>RetInf.SixthLastYear</f>
        <v/>
      </c>
      <c r="C26" s="64" t="n"/>
      <c r="D26" s="64" t="n"/>
      <c r="E26" s="64" t="n"/>
      <c r="F26" s="64" t="n"/>
      <c r="G26" s="64" t="n"/>
      <c r="H26" s="64" t="n"/>
      <c r="I26" s="139">
        <f>SUM(C26:H26)</f>
        <v/>
      </c>
    </row>
    <row r="27" ht="17" customHeight="1" s="486">
      <c r="A27" s="270" t="n">
        <v>5</v>
      </c>
      <c r="B27" s="271">
        <f>RetInf.FifthLastYear</f>
        <v/>
      </c>
      <c r="C27" s="64" t="n"/>
      <c r="D27" s="64" t="n"/>
      <c r="E27" s="64" t="n"/>
      <c r="F27" s="64" t="n"/>
      <c r="G27" s="64" t="n"/>
      <c r="H27" s="64" t="n"/>
      <c r="I27" s="139">
        <f>SUM(C27:H27)</f>
        <v/>
      </c>
    </row>
    <row r="28" ht="17" customHeight="1" s="486">
      <c r="A28" s="270" t="n">
        <v>6</v>
      </c>
      <c r="B28" s="271">
        <f>RetInf.FourthLastYear</f>
        <v/>
      </c>
      <c r="C28" s="64" t="n"/>
      <c r="D28" s="64" t="n"/>
      <c r="E28" s="64" t="n"/>
      <c r="F28" s="64" t="n"/>
      <c r="G28" s="64" t="n"/>
      <c r="H28" s="64" t="n"/>
      <c r="I28" s="139">
        <f>SUM(C28:H28)</f>
        <v/>
      </c>
    </row>
    <row r="29" ht="17" customHeight="1" s="486">
      <c r="A29" s="270" t="n">
        <v>7</v>
      </c>
      <c r="B29" s="272">
        <f>RetInf.ThirdLastYear</f>
        <v/>
      </c>
      <c r="C29" s="64" t="n"/>
      <c r="D29" s="64" t="n"/>
      <c r="E29" s="64" t="n"/>
      <c r="F29" s="64" t="n"/>
      <c r="G29" s="64" t="n"/>
      <c r="H29" s="64" t="n"/>
      <c r="I29" s="139">
        <f>SUM(C29:H29)</f>
        <v/>
      </c>
    </row>
    <row r="30" ht="17" customHeight="1" s="486">
      <c r="A30" s="270" t="n">
        <v>8</v>
      </c>
      <c r="B30" s="272">
        <f>RetInf.SecLastYear</f>
        <v/>
      </c>
      <c r="C30" s="64" t="n"/>
      <c r="D30" s="64" t="n"/>
      <c r="E30" s="64" t="n"/>
      <c r="F30" s="64" t="n"/>
      <c r="G30" s="64" t="n"/>
      <c r="H30" s="64" t="n"/>
      <c r="I30" s="139">
        <f>SUM(C30:H30)</f>
        <v/>
      </c>
    </row>
    <row r="31" ht="17" customHeight="1" s="486">
      <c r="A31" s="270" t="n">
        <v>9</v>
      </c>
      <c r="B31" s="272">
        <f>RetInf.LastYear</f>
        <v/>
      </c>
      <c r="C31" s="64" t="n"/>
      <c r="D31" s="64" t="n"/>
      <c r="E31" s="64" t="n"/>
      <c r="F31" s="64" t="n"/>
      <c r="G31" s="64" t="n"/>
      <c r="H31" s="64" t="n"/>
      <c r="I31" s="139">
        <f>SUM(C31:H31)</f>
        <v/>
      </c>
    </row>
    <row r="32" ht="34" customHeight="1" s="486">
      <c r="A32" s="273" t="n">
        <v>10</v>
      </c>
      <c r="B32" s="268" t="inlineStr">
        <is>
          <t>Total of earlier year losses B/f (1+2+3+4+5+6+7+8+9)</t>
        </is>
      </c>
      <c r="C32" s="139">
        <f>SUM(C23:C31)</f>
        <v/>
      </c>
      <c r="D32" s="139">
        <f>SUM(D23:D31)</f>
        <v/>
      </c>
      <c r="E32" s="139">
        <f>SUM(E23:E31)</f>
        <v/>
      </c>
      <c r="F32" s="139">
        <f>SUM(F23:F31)</f>
        <v/>
      </c>
      <c r="G32" s="139">
        <f>SUM(G23:G31)</f>
        <v/>
      </c>
      <c r="H32" s="139">
        <f>SUM(H23:H31)</f>
        <v/>
      </c>
      <c r="I32" s="139">
        <f>SUM(C32:H32)</f>
        <v/>
      </c>
    </row>
    <row r="33" ht="17" customHeight="1" s="486">
      <c r="A33" s="270" t="n">
        <v>11</v>
      </c>
      <c r="B33" s="272" t="inlineStr">
        <is>
          <t>Losses Adjusted</t>
        </is>
      </c>
      <c r="C33" s="64" t="n"/>
      <c r="D33" s="64" t="n"/>
      <c r="E33" s="64" t="n"/>
      <c r="F33" s="64" t="n"/>
      <c r="G33" s="64" t="n"/>
      <c r="H33" s="64" t="n"/>
      <c r="I33" s="139">
        <f>SUM(C33:H33)</f>
        <v/>
      </c>
    </row>
    <row r="34" ht="17" customHeight="1" s="486">
      <c r="A34" s="273" t="n">
        <v>12</v>
      </c>
      <c r="B34" s="268" t="inlineStr">
        <is>
          <t>Losses C/f (10-11)</t>
        </is>
      </c>
      <c r="C34" s="139">
        <f>(ROUND(C32,2)-ROUND(C33,2))</f>
        <v/>
      </c>
      <c r="D34" s="139">
        <f>(ROUND(D32,2)-ROUND(D33,2))</f>
        <v/>
      </c>
      <c r="E34" s="139">
        <f>(ROUND(E32,2)-ROUND(E33,2))</f>
        <v/>
      </c>
      <c r="F34" s="139">
        <f>(ROUND(F32,2)-ROUND(F33,2))</f>
        <v/>
      </c>
      <c r="G34" s="139">
        <f>(ROUND(G32,2)-ROUND(G33,2))</f>
        <v/>
      </c>
      <c r="H34" s="139">
        <f>(ROUND(H32,2)-ROUND(H33,2))</f>
        <v/>
      </c>
      <c r="I34" s="139">
        <f>SUM(C34:H34)</f>
        <v/>
      </c>
    </row>
    <row r="35" ht="51" customHeight="1" s="486">
      <c r="A35" s="270" t="n">
        <v>13</v>
      </c>
      <c r="B35" s="272" t="inlineStr">
        <is>
          <t>Current year loss (T_Income_Computation_Wife Line Number 11)</t>
        </is>
      </c>
      <c r="C35" s="139">
        <f>IF(TC.BussTaxableIncomeW&lt;0,(-TC.BussTaxableIncomeW),0)</f>
        <v/>
      </c>
      <c r="D35" s="139">
        <f>IF(TC.FarmTaxableIncomeW&lt;0,(-TC.FarmTaxableIncomeW),0)</f>
        <v/>
      </c>
      <c r="E35" s="139">
        <f>IF(TC.RentTaxableIncomeW&lt;0,(-TC.RentTaxableIncomeW),0)</f>
        <v/>
      </c>
      <c r="F35" s="139">
        <f>IF(TC.IntrTaxableIncomeW&lt;0,(-TC.IntrTaxableIncomeW),0)</f>
        <v/>
      </c>
      <c r="G35" s="139">
        <f>IF(TC.CommTaxableIncomeW&lt;0,(-TC.CommTaxableIncomeW),0)</f>
        <v/>
      </c>
      <c r="H35" s="139">
        <f>IF(TC.OtherTaxableIncomeW&lt;0,(-TC.OtherTaxableIncomeW),0)</f>
        <v/>
      </c>
      <c r="I35" s="139">
        <f>SUM(C35:H35)</f>
        <v/>
      </c>
    </row>
    <row r="36" ht="34" customHeight="1" s="486">
      <c r="A36" s="273" t="n">
        <v>14</v>
      </c>
      <c r="B36" s="268" t="inlineStr">
        <is>
          <t>Total Loss carried forward to future (12+13)</t>
        </is>
      </c>
      <c r="C36" s="139">
        <f>SUM(C34+C35)</f>
        <v/>
      </c>
      <c r="D36" s="139">
        <f>SUM(D34+D35)</f>
        <v/>
      </c>
      <c r="E36" s="139">
        <f>SUM(E34+E35)</f>
        <v/>
      </c>
      <c r="F36" s="139">
        <f>SUM(F34+F35)</f>
        <v/>
      </c>
      <c r="G36" s="139">
        <f>SUM(G34+G35)</f>
        <v/>
      </c>
      <c r="H36" s="139">
        <f>SUM(H34+H35)</f>
        <v/>
      </c>
      <c r="I36" s="139">
        <f>SUM(C36:H36)</f>
        <v/>
      </c>
    </row>
    <row r="37" ht="16.5" customHeight="1" s="486">
      <c r="A37" s="274" t="n"/>
      <c r="B37" s="274" t="n"/>
      <c r="C37" s="274" t="inlineStr">
        <is>
          <t>LOSSBUSW</t>
        </is>
      </c>
      <c r="D37" s="274" t="inlineStr">
        <is>
          <t>LOSSFRMW</t>
        </is>
      </c>
      <c r="E37" s="274" t="inlineStr">
        <is>
          <t>LOSSRNTW</t>
        </is>
      </c>
      <c r="F37" s="274" t="inlineStr">
        <is>
          <t>LOSSINTW</t>
        </is>
      </c>
      <c r="G37" s="274" t="inlineStr">
        <is>
          <t>LOSSCOMW</t>
        </is>
      </c>
      <c r="H37" s="274" t="inlineStr">
        <is>
          <t>LOSSOTHW</t>
        </is>
      </c>
      <c r="I37" s="274" t="inlineStr">
        <is>
          <t>LOSSTOTW</t>
        </is>
      </c>
    </row>
    <row r="38" ht="16.5" customHeight="1" s="486">
      <c r="A38" s="274" t="n"/>
      <c r="B38" s="274" t="n"/>
      <c r="C38" s="274" t="n"/>
      <c r="D38" s="274" t="n"/>
      <c r="E38" s="274" t="n"/>
      <c r="F38" s="274" t="n"/>
      <c r="G38" s="274" t="n"/>
      <c r="H38" s="274" t="n"/>
      <c r="I38" s="274" t="n"/>
    </row>
    <row r="39" ht="37.5" customHeight="1" s="486">
      <c r="A39" s="274" t="n"/>
      <c r="B39" s="274" t="n"/>
      <c r="C39" s="274" t="n"/>
      <c r="D39" s="274" t="n"/>
      <c r="E39" s="274" t="n"/>
      <c r="F39" s="274" t="n"/>
      <c r="G39" s="274" t="n"/>
      <c r="H39" s="274" t="n"/>
      <c r="I39" s="274" t="n"/>
    </row>
    <row r="40" ht="37.5" customHeight="1" s="486">
      <c r="A40" s="275" t="n"/>
      <c r="B40" s="275" t="n"/>
      <c r="C40" s="275" t="n"/>
      <c r="D40" s="275" t="n"/>
      <c r="E40" s="275" t="n"/>
      <c r="F40" s="275" t="n"/>
      <c r="G40" s="275" t="n"/>
      <c r="H40" s="275" t="n"/>
      <c r="I40" s="275" t="n"/>
    </row>
    <row r="41" hidden="1" s="486">
      <c r="A41" s="581" t="n"/>
      <c r="B41" s="581" t="n"/>
      <c r="C41" s="581" t="n"/>
      <c r="D41" s="581" t="n"/>
      <c r="E41" s="581" t="n"/>
      <c r="F41" s="581" t="n"/>
      <c r="G41" s="581" t="n"/>
      <c r="H41" s="581" t="n"/>
      <c r="I41" s="581" t="n"/>
    </row>
    <row r="42" hidden="1" s="486">
      <c r="A42" s="581" t="n"/>
      <c r="B42" s="581" t="n"/>
      <c r="C42" s="581" t="n"/>
      <c r="D42" s="581" t="n"/>
      <c r="E42" s="581" t="n"/>
      <c r="F42" s="581" t="n"/>
      <c r="G42" s="581" t="n"/>
      <c r="H42" s="581" t="n"/>
      <c r="I42" s="581" t="n"/>
    </row>
    <row r="43" hidden="1" s="486">
      <c r="A43" s="581" t="n"/>
      <c r="B43" s="581" t="n"/>
      <c r="C43" s="581" t="n"/>
      <c r="D43" s="581" t="n"/>
      <c r="E43" s="581" t="n"/>
      <c r="F43" s="581" t="n"/>
      <c r="G43" s="581" t="n"/>
      <c r="H43" s="581" t="n"/>
      <c r="I43" s="581" t="n"/>
    </row>
    <row r="44" hidden="1" s="486">
      <c r="A44" s="581" t="n"/>
      <c r="B44" s="581" t="n"/>
      <c r="C44" s="581" t="n"/>
      <c r="D44" s="581" t="n"/>
      <c r="E44" s="581" t="n"/>
      <c r="F44" s="581" t="n"/>
      <c r="G44" s="581" t="n"/>
      <c r="H44" s="581" t="n"/>
      <c r="I44" s="581" t="n"/>
    </row>
    <row r="45" hidden="1" s="486">
      <c r="A45" s="581" t="n"/>
      <c r="B45" s="581" t="n"/>
      <c r="C45" s="581" t="n"/>
      <c r="D45" s="581" t="n"/>
      <c r="E45" s="581" t="n"/>
      <c r="F45" s="581" t="n"/>
      <c r="G45" s="581" t="n"/>
      <c r="H45" s="581" t="n"/>
      <c r="I45" s="581" t="n"/>
    </row>
    <row r="46" hidden="1" s="486">
      <c r="A46" s="581" t="n"/>
      <c r="B46" s="581" t="n"/>
      <c r="C46" s="581" t="n"/>
      <c r="D46" s="581" t="n"/>
      <c r="E46" s="581" t="n"/>
      <c r="F46" s="581" t="n"/>
      <c r="G46" s="581" t="n"/>
      <c r="H46" s="581" t="n"/>
      <c r="I46" s="581" t="n"/>
    </row>
    <row r="47" hidden="1" s="486">
      <c r="A47" s="581" t="n"/>
      <c r="B47" s="581" t="n"/>
      <c r="C47" s="581" t="n"/>
      <c r="D47" s="581" t="n"/>
      <c r="E47" s="581" t="n"/>
      <c r="F47" s="581" t="n"/>
      <c r="G47" s="581" t="n"/>
      <c r="H47" s="581" t="n"/>
      <c r="I47" s="581" t="n"/>
    </row>
    <row r="48" hidden="1" s="486">
      <c r="A48" s="581" t="n"/>
      <c r="B48" s="581" t="n"/>
      <c r="C48" s="581" t="n"/>
      <c r="D48" s="581" t="n"/>
      <c r="E48" s="581" t="n"/>
      <c r="F48" s="581" t="n"/>
      <c r="G48" s="581" t="n"/>
      <c r="H48" s="581" t="n"/>
      <c r="I48" s="581" t="n"/>
    </row>
    <row r="49" hidden="1" s="486">
      <c r="A49" s="581" t="n"/>
      <c r="B49" s="581" t="n"/>
      <c r="C49" s="581" t="n"/>
      <c r="D49" s="581" t="n"/>
      <c r="E49" s="581" t="n"/>
      <c r="F49" s="581" t="n"/>
      <c r="G49" s="581" t="n"/>
      <c r="H49" s="581" t="n"/>
      <c r="I49" s="581" t="n"/>
    </row>
  </sheetData>
  <sheetProtection selectLockedCells="0" selectUnlockedCells="0" algorithmName="SHA-512" sheet="1" objects="1" insertRows="1" insertHyperlinks="1" autoFilter="1" scenarios="1" formatColumns="1" deleteColumns="1" insertColumns="1" pivotTables="1" deleteRows="1" formatCells="1" saltValue="JaAc+4wN7mUigiB2axTG/A==" formatRows="1" sort="1" spinCount="100000" hashValue="qJj27fBVpe0vzzBTb2ecUelp39lMRca1Opykzy1gJ/ASdtosHRs9bLIM0LU4ryj8JJMHu4xERPDIv78Is1OP/Q=="/>
  <mergeCells count="2">
    <mergeCell ref="A1:I1"/>
    <mergeCell ref="A20:I20"/>
  </mergeCells>
  <dataValidations xWindow="922" yWindow="584" count="1">
    <dataValidation sqref="C4:H12 C14:H14 C28:H31 C33:H33"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s>
  <pageMargins left="0.7" right="0.7" top="0.75" bottom="0.75" header="0.3" footer="0.3"/>
  <pageSetup orientation="portrait"/>
  <drawing r:id="rId1"/>
</worksheet>
</file>

<file path=xl/worksheets/sheet31.xml><?xml version="1.0" encoding="utf-8"?>
<worksheet xmlns:r="http://schemas.openxmlformats.org/officeDocument/2006/relationships" xmlns="http://schemas.openxmlformats.org/spreadsheetml/2006/main">
  <sheetPr codeName="Sheet9">
    <outlinePr summaryBelow="1" summaryRight="1"/>
    <pageSetUpPr/>
  </sheetPr>
  <dimension ref="A1:K59"/>
  <sheetViews>
    <sheetView topLeftCell="F25" zoomScaleNormal="100" workbookViewId="0">
      <selection activeCell="I34" sqref="I34"/>
    </sheetView>
  </sheetViews>
  <sheetFormatPr baseColWidth="10" defaultColWidth="0" defaultRowHeight="15" zeroHeight="1"/>
  <cols>
    <col width="8.5" customWidth="1" style="581" min="1" max="1"/>
    <col width="80.6640625" customWidth="1" style="581" min="2" max="2"/>
    <col width="27.6640625" customWidth="1" style="581" min="3" max="9"/>
    <col width="14.33203125" customWidth="1" style="581" min="10" max="10"/>
    <col hidden="1" width="27.6640625" customWidth="1" style="581" min="11" max="11"/>
    <col hidden="1" width="13" customWidth="1" style="581" min="12" max="12"/>
    <col hidden="1" width="13" customWidth="1" style="581" min="13" max="16384"/>
  </cols>
  <sheetData>
    <row r="1" ht="31.5" customHeight="1" s="486">
      <c r="A1" s="579" t="inlineStr">
        <is>
          <t>Section T : Tax Computation (Self)</t>
        </is>
      </c>
      <c r="B1" s="491" t="n"/>
      <c r="C1" s="491" t="n"/>
      <c r="D1" s="491" t="n"/>
      <c r="E1" s="491" t="n"/>
      <c r="F1" s="491" t="n"/>
      <c r="G1" s="491" t="n"/>
      <c r="H1" s="491" t="n"/>
      <c r="I1" s="491" t="n"/>
      <c r="J1" s="580" t="n"/>
    </row>
    <row r="2" ht="21" customHeight="1" s="486">
      <c r="A2" s="545" t="inlineStr">
        <is>
          <t>Sr. No.</t>
        </is>
      </c>
      <c r="B2" s="545" t="inlineStr">
        <is>
          <t>Description</t>
        </is>
      </c>
      <c r="C2" s="545" t="inlineStr">
        <is>
          <t>Business (Ksh)</t>
        </is>
      </c>
      <c r="D2" s="545" t="inlineStr">
        <is>
          <t>Farming (Ksh)</t>
        </is>
      </c>
      <c r="E2" s="545" t="inlineStr">
        <is>
          <t>Rental (Ksh)</t>
        </is>
      </c>
      <c r="F2" s="545" t="inlineStr">
        <is>
          <t>Interest (Ksh)</t>
        </is>
      </c>
      <c r="G2" s="545" t="inlineStr">
        <is>
          <t>Commission (Ksh)</t>
        </is>
      </c>
      <c r="H2" s="545" t="inlineStr">
        <is>
          <t>Other (Ksh)</t>
        </is>
      </c>
      <c r="I2" s="545" t="inlineStr">
        <is>
          <t>Consolidated (Ksh)</t>
        </is>
      </c>
    </row>
    <row r="3" ht="34" customHeight="1" s="486">
      <c r="A3" s="258" t="n">
        <v>1</v>
      </c>
      <c r="B3" s="238" t="inlineStr">
        <is>
          <t>Profit / Surplus / Loss as per Profit / Surplus &amp; Loss Account (Line number 9 of B_Profit_Loss_Account_Self)</t>
        </is>
      </c>
      <c r="C3" s="44">
        <f>PLA.ProfitLossBeforeTaxBussS</f>
        <v/>
      </c>
      <c r="D3" s="44">
        <f>PLA.ProfitLossBeforeTaxFarmS</f>
        <v/>
      </c>
      <c r="E3" s="44">
        <f>PLA.ProfitLossBeforeTaxRentS</f>
        <v/>
      </c>
      <c r="F3" s="44">
        <f>PLA.ProfitLossBeforeTaxIntS</f>
        <v/>
      </c>
      <c r="G3" s="44">
        <f>PLA.ProfitLossBeforeTaxCommS</f>
        <v/>
      </c>
      <c r="H3" s="44">
        <f>PLA.ProfitLossBeforeTaxOtherS</f>
        <v/>
      </c>
      <c r="I3" s="44">
        <f>SUM(C3:H3)</f>
        <v/>
      </c>
      <c r="J3" s="580" t="n"/>
      <c r="K3" s="205" t="n"/>
    </row>
    <row r="4" ht="17" customHeight="1" s="486">
      <c r="A4" s="258" t="n">
        <v>2</v>
      </c>
      <c r="B4" s="238" t="inlineStr">
        <is>
          <t>Less Exempt income (if included in Profit / Surplus and Loss Account)</t>
        </is>
      </c>
      <c r="C4" s="45" t="n"/>
      <c r="D4" s="45" t="n"/>
      <c r="E4" s="45" t="n"/>
      <c r="F4" s="45" t="n"/>
      <c r="G4" s="45" t="n"/>
      <c r="H4" s="45" t="n"/>
      <c r="I4" s="44">
        <f>SUM(C4:H4)</f>
        <v/>
      </c>
      <c r="K4" s="205" t="n"/>
    </row>
    <row r="5" ht="17" customHeight="1" s="486">
      <c r="A5" s="512" t="n">
        <v>3</v>
      </c>
      <c r="B5" s="203" t="inlineStr">
        <is>
          <t>Adjusted Profit / Surplus / Loss as per Profit / Surplus &amp; Loss Account (1-2)</t>
        </is>
      </c>
      <c r="C5" s="44">
        <f>ROUND(C3,2)-ROUND(C4,2)</f>
        <v/>
      </c>
      <c r="D5" s="44">
        <f>ROUND(D3,2)-ROUND(D4,2)</f>
        <v/>
      </c>
      <c r="E5" s="44">
        <f>ROUND(E3,2)-ROUND(E4,2)</f>
        <v/>
      </c>
      <c r="F5" s="44">
        <f>ROUND(F3,2)-ROUND(F4,2)</f>
        <v/>
      </c>
      <c r="G5" s="44">
        <f>ROUND(G3,2)-ROUND(G4,2)</f>
        <v/>
      </c>
      <c r="H5" s="44">
        <f>ROUND(H3,2)-ROUND(H4,2)</f>
        <v/>
      </c>
      <c r="I5" s="44">
        <f>SUM(C5:H5)</f>
        <v/>
      </c>
      <c r="J5" s="580" t="n"/>
      <c r="K5" s="204" t="n"/>
    </row>
    <row r="6" ht="16" customHeight="1" s="486">
      <c r="A6" s="512" t="n"/>
      <c r="B6" s="491" t="n"/>
      <c r="C6" s="491" t="n"/>
      <c r="D6" s="491" t="n"/>
      <c r="E6" s="491" t="n"/>
      <c r="F6" s="491" t="n"/>
      <c r="G6" s="491" t="n"/>
      <c r="H6" s="491" t="n"/>
      <c r="I6" s="481" t="n"/>
      <c r="K6" s="205" t="n"/>
    </row>
    <row r="7" ht="17" customHeight="1" s="486">
      <c r="A7" s="512" t="n">
        <v>4</v>
      </c>
      <c r="B7" s="203" t="inlineStr">
        <is>
          <t>Add Back: Disallowable Deductions (4.1 to 4.13)</t>
        </is>
      </c>
      <c r="C7" s="44">
        <f>SUM(C8:C21)</f>
        <v/>
      </c>
      <c r="D7" s="44">
        <f>SUM(D8:D21)</f>
        <v/>
      </c>
      <c r="E7" s="44">
        <f>SUM(E8:E21)</f>
        <v/>
      </c>
      <c r="F7" s="44">
        <f>SUM(F8:F21)</f>
        <v/>
      </c>
      <c r="G7" s="44">
        <f>SUM(G8:G21)</f>
        <v/>
      </c>
      <c r="H7" s="44">
        <f>SUM(H8:H21)</f>
        <v/>
      </c>
      <c r="I7" s="44">
        <f>SUM(C7:H7)</f>
        <v/>
      </c>
      <c r="J7" s="580" t="n"/>
      <c r="K7" s="205" t="n"/>
    </row>
    <row r="8" ht="17" customHeight="1" s="486">
      <c r="A8" s="258" t="n">
        <v>4.1</v>
      </c>
      <c r="B8" s="238" t="inlineStr">
        <is>
          <t>Depreciation ((Line number 2.4.5 + Line number 6.1 of B_Profit_Loss_Account_Self)</t>
        </is>
      </c>
      <c r="C8" s="44">
        <f>PLA.deprBussS+PLA.deprAdminBussS</f>
        <v/>
      </c>
      <c r="D8" s="44">
        <f>PLA.deprFarmS+PLA.deprAdminFarmS</f>
        <v/>
      </c>
      <c r="E8" s="44">
        <f>PLA.deprRentS+PLA.deprAdminRentS</f>
        <v/>
      </c>
      <c r="F8" s="44">
        <f>PLA.deprIntS+PLA.deprAdminIntS</f>
        <v/>
      </c>
      <c r="G8" s="44">
        <f>PLA.deprCommS+PLA.deprAdminCommS</f>
        <v/>
      </c>
      <c r="H8" s="44">
        <f>PLA.deprOtherS+PLA.deprAdminOtherS</f>
        <v/>
      </c>
      <c r="I8" s="44">
        <f>SUM(C8:H8)</f>
        <v/>
      </c>
      <c r="K8" s="205" t="n"/>
    </row>
    <row r="9" ht="17" customHeight="1" s="486">
      <c r="A9" s="258" t="n">
        <v>4.2</v>
      </c>
      <c r="B9" s="238" t="inlineStr">
        <is>
          <t>Entertainment Expenses (to the extent not allowable)</t>
        </is>
      </c>
      <c r="C9" s="45" t="n"/>
      <c r="D9" s="45" t="n"/>
      <c r="E9" s="45" t="n"/>
      <c r="F9" s="45" t="n"/>
      <c r="G9" s="45" t="n"/>
      <c r="H9" s="45" t="n"/>
      <c r="I9" s="44">
        <f>SUM(C9:H9)</f>
        <v/>
      </c>
      <c r="J9" s="580" t="n"/>
      <c r="K9" s="205" t="n"/>
    </row>
    <row r="10" ht="17" customHeight="1" s="486">
      <c r="A10" s="258" t="n">
        <v>4.3</v>
      </c>
      <c r="B10" s="238" t="inlineStr">
        <is>
          <t>Expenses related to Exempt Income (if debited to P &amp; L)</t>
        </is>
      </c>
      <c r="C10" s="45" t="n"/>
      <c r="D10" s="45" t="n"/>
      <c r="E10" s="45" t="n"/>
      <c r="F10" s="45" t="n"/>
      <c r="G10" s="45" t="n"/>
      <c r="H10" s="45" t="n"/>
      <c r="I10" s="44">
        <f>SUM(C10:H10)</f>
        <v/>
      </c>
      <c r="K10" s="205" t="n"/>
    </row>
    <row r="11" ht="34" customHeight="1" s="486">
      <c r="A11" s="258" t="n">
        <v>4.4</v>
      </c>
      <c r="B11" s="238" t="inlineStr">
        <is>
          <t>Loss on disposal of  depreciable assets (Line number 6.2 of B_Profit_Loss_Account_Self)</t>
        </is>
      </c>
      <c r="C11" s="44">
        <f>PLA.LossOnDisposalBussS</f>
        <v/>
      </c>
      <c r="D11" s="44">
        <f>PLA.LossOnDisposalFarmS</f>
        <v/>
      </c>
      <c r="E11" s="44">
        <f>PLA.LossOnDisposalRentS</f>
        <v/>
      </c>
      <c r="F11" s="44">
        <f>PLA.LossOnDisposalIntS</f>
        <v/>
      </c>
      <c r="G11" s="44">
        <f>PLA.LossOnDisposalCommS</f>
        <v/>
      </c>
      <c r="H11" s="44">
        <f>PLA.LossOnDisposalOtherS</f>
        <v/>
      </c>
      <c r="I11" s="44">
        <f>SUM(C11:H11)</f>
        <v/>
      </c>
      <c r="J11" s="580" t="n"/>
      <c r="K11" s="205" t="n"/>
    </row>
    <row r="12" ht="17" customHeight="1" s="486">
      <c r="A12" s="258" t="n">
        <v>4.5</v>
      </c>
      <c r="B12" s="238" t="inlineStr">
        <is>
          <t>Balancing Charge</t>
        </is>
      </c>
      <c r="C12" s="45" t="n"/>
      <c r="D12" s="45" t="n"/>
      <c r="E12" s="45" t="n"/>
      <c r="F12" s="45" t="n"/>
      <c r="G12" s="45" t="n"/>
      <c r="H12" s="45" t="n"/>
      <c r="I12" s="44">
        <f>SUM(C12:H12)</f>
        <v/>
      </c>
      <c r="K12" s="205" t="n"/>
    </row>
    <row r="13" ht="17" customHeight="1" s="486">
      <c r="A13" s="258" t="n">
        <v>4.6</v>
      </c>
      <c r="B13" s="238" t="inlineStr">
        <is>
          <t>Donations</t>
        </is>
      </c>
      <c r="C13" s="45" t="n"/>
      <c r="D13" s="45" t="n"/>
      <c r="E13" s="45" t="n"/>
      <c r="F13" s="45" t="n"/>
      <c r="G13" s="45" t="n"/>
      <c r="H13" s="45" t="n"/>
      <c r="I13" s="44">
        <f>SUM(C13:H13)</f>
        <v/>
      </c>
      <c r="J13" s="580" t="n"/>
      <c r="K13" s="205" t="n"/>
    </row>
    <row r="14" ht="34" customHeight="1" s="486">
      <c r="A14" s="258" t="n">
        <v>4.7</v>
      </c>
      <c r="B14" s="238" t="inlineStr">
        <is>
          <t>General Provisions for bad and doubtful debts debited to P&amp;L (Line number 5.15 of B_Profit_Loss_Account_Self)</t>
        </is>
      </c>
      <c r="C14" s="44">
        <f>PLA.ProvBadDebtsBussS</f>
        <v/>
      </c>
      <c r="D14" s="44">
        <f>PLA.ProvBadDebtsFarmS</f>
        <v/>
      </c>
      <c r="E14" s="44">
        <f>PLA.ProvBadDebtsRentS</f>
        <v/>
      </c>
      <c r="F14" s="44">
        <f>PLA.ProvBadDebtsIntS</f>
        <v/>
      </c>
      <c r="G14" s="44">
        <f>PLA.ProvBadDebtsCommS</f>
        <v/>
      </c>
      <c r="H14" s="44">
        <f>PLA.ProvBadDebtsOthS</f>
        <v/>
      </c>
      <c r="I14" s="44">
        <f>SUM(C14:H14)</f>
        <v/>
      </c>
      <c r="K14" s="205" t="n"/>
    </row>
    <row r="15" ht="17" customHeight="1" s="486">
      <c r="A15" s="258" t="n">
        <v>4.8</v>
      </c>
      <c r="B15" s="238" t="inlineStr">
        <is>
          <t xml:space="preserve">Start up cost/ Pre-operating expenses </t>
        </is>
      </c>
      <c r="C15" s="45" t="n"/>
      <c r="D15" s="45" t="n"/>
      <c r="E15" s="45" t="n"/>
      <c r="F15" s="45" t="n"/>
      <c r="G15" s="45" t="n"/>
      <c r="H15" s="45" t="n"/>
      <c r="I15" s="44">
        <f>SUM(C15:H15)</f>
        <v/>
      </c>
      <c r="J15" s="580" t="n"/>
      <c r="K15" s="205" t="n"/>
    </row>
    <row r="16" ht="17" customHeight="1" s="486">
      <c r="A16" s="258" t="n">
        <v>4.9</v>
      </c>
      <c r="B16" s="238" t="inlineStr">
        <is>
          <t>Unrealized foreign exchange loss (Line number 7.6 of B_Profit_Loss_Account_Self)</t>
        </is>
      </c>
      <c r="C16" s="44">
        <f>PLA.unrealizedExchLossBussS</f>
        <v/>
      </c>
      <c r="D16" s="44">
        <f>PLA.unrealizedExchLossFarmS</f>
        <v/>
      </c>
      <c r="E16" s="44">
        <f>PLA.unrealizedExchLossRentS</f>
        <v/>
      </c>
      <c r="F16" s="44">
        <f>PLA.unrealizedExchLossIntS</f>
        <v/>
      </c>
      <c r="G16" s="44">
        <f>PLA.unrealizedExchLossCommS</f>
        <v/>
      </c>
      <c r="H16" s="44">
        <f>PLA.unrealizedExchLossOthS</f>
        <v/>
      </c>
      <c r="I16" s="44">
        <f>SUM(C16:H16)</f>
        <v/>
      </c>
      <c r="K16" s="205" t="n"/>
    </row>
    <row r="17" ht="17" customHeight="1" s="486">
      <c r="A17" s="259" t="inlineStr">
        <is>
          <t>4.10</t>
        </is>
      </c>
      <c r="B17" s="238" t="inlineStr">
        <is>
          <t>Operating Expenses</t>
        </is>
      </c>
      <c r="C17" s="45" t="n"/>
      <c r="D17" s="45" t="n"/>
      <c r="E17" s="45" t="n"/>
      <c r="F17" s="45" t="n"/>
      <c r="G17" s="45" t="n"/>
      <c r="H17" s="45" t="n"/>
      <c r="I17" s="44">
        <f>SUM(C17:H17)</f>
        <v/>
      </c>
      <c r="J17" s="580" t="n"/>
      <c r="K17" s="205" t="n"/>
    </row>
    <row r="18" ht="17" customHeight="1" s="486">
      <c r="A18" s="258" t="n">
        <v>4.11</v>
      </c>
      <c r="B18" s="238" t="inlineStr">
        <is>
          <t>Administrative Expenses</t>
        </is>
      </c>
      <c r="C18" s="45" t="n"/>
      <c r="D18" s="45" t="n"/>
      <c r="E18" s="45" t="n"/>
      <c r="F18" s="45" t="n"/>
      <c r="G18" s="45" t="n"/>
      <c r="H18" s="45" t="n"/>
      <c r="I18" s="44">
        <f>SUM(C18:H18)</f>
        <v/>
      </c>
      <c r="K18" s="205" t="n"/>
    </row>
    <row r="19" ht="17" customHeight="1" s="486">
      <c r="A19" s="258" t="n">
        <v>4.12</v>
      </c>
      <c r="B19" s="238" t="inlineStr">
        <is>
          <t>Financial expenses</t>
        </is>
      </c>
      <c r="C19" s="45" t="n"/>
      <c r="D19" s="45" t="n"/>
      <c r="E19" s="45" t="n"/>
      <c r="F19" s="45" t="n"/>
      <c r="G19" s="45" t="n"/>
      <c r="H19" s="45" t="n"/>
      <c r="I19" s="44">
        <f>SUM(C19:H19)</f>
        <v/>
      </c>
      <c r="J19" s="580" t="n"/>
      <c r="K19" s="205" t="n"/>
    </row>
    <row r="20" ht="16" customHeight="1" s="486">
      <c r="A20" s="512" t="n"/>
      <c r="B20" s="491" t="n"/>
      <c r="C20" s="491" t="n"/>
      <c r="D20" s="491" t="n"/>
      <c r="E20" s="491" t="n"/>
      <c r="F20" s="491" t="n"/>
      <c r="G20" s="491" t="n"/>
      <c r="H20" s="491" t="n"/>
      <c r="I20" s="481" t="n"/>
      <c r="K20" s="205" t="n"/>
    </row>
    <row r="21" ht="17" customHeight="1" s="486">
      <c r="A21" s="258" t="n">
        <v>4.13</v>
      </c>
      <c r="B21" s="238" t="inlineStr">
        <is>
          <t>Other Disallowable Deductions(Part I Total "Total of Other Disallowable Deductions")</t>
        </is>
      </c>
      <c r="C21" s="44">
        <f>TaxComp.OEBussS</f>
        <v/>
      </c>
      <c r="D21" s="44">
        <f>TaxComp.OEFarmS</f>
        <v/>
      </c>
      <c r="E21" s="44">
        <f>TaxComp.OERentS</f>
        <v/>
      </c>
      <c r="F21" s="44">
        <f>TaxComp.OEIntS</f>
        <v/>
      </c>
      <c r="G21" s="44">
        <f>TaxComp.OECommS</f>
        <v/>
      </c>
      <c r="H21" s="44">
        <f>TaxComp.OEOthS</f>
        <v/>
      </c>
      <c r="I21" s="44">
        <f>SUM(C21:H21)</f>
        <v/>
      </c>
      <c r="K21" s="205" t="n"/>
    </row>
    <row r="22" ht="16" customHeight="1" s="486">
      <c r="A22" s="512" t="n"/>
      <c r="B22" s="491" t="n"/>
      <c r="C22" s="491" t="n"/>
      <c r="D22" s="491" t="n"/>
      <c r="E22" s="491" t="n"/>
      <c r="F22" s="491" t="n"/>
      <c r="G22" s="491" t="n"/>
      <c r="H22" s="491" t="n"/>
      <c r="I22" s="481" t="n"/>
      <c r="J22" s="580" t="n"/>
      <c r="K22" s="205" t="n"/>
    </row>
    <row r="23" ht="17" customHeight="1" s="486">
      <c r="A23" s="512" t="n">
        <v>5</v>
      </c>
      <c r="B23" s="203" t="inlineStr">
        <is>
          <t>Deduct: Allowable Deductions (5.1 to 5.5)</t>
        </is>
      </c>
      <c r="C23" s="44">
        <f>SUM(C24:C29)</f>
        <v/>
      </c>
      <c r="D23" s="44">
        <f>SUM(D24:D29)</f>
        <v/>
      </c>
      <c r="E23" s="44">
        <f>SUM(E24:E29)</f>
        <v/>
      </c>
      <c r="F23" s="44">
        <f>SUM(F24:F29)</f>
        <v/>
      </c>
      <c r="G23" s="44">
        <f>SUM(G24:G29)</f>
        <v/>
      </c>
      <c r="H23" s="44">
        <f>SUM(H24:H29)</f>
        <v/>
      </c>
      <c r="I23" s="44">
        <f>SUM(C23:H23)</f>
        <v/>
      </c>
      <c r="J23" s="580" t="n"/>
      <c r="K23" s="205" t="n"/>
    </row>
    <row r="24" ht="17" customHeight="1" s="486">
      <c r="A24" s="258" t="n">
        <v>5.1</v>
      </c>
      <c r="B24" s="238" t="inlineStr">
        <is>
          <t>Profit / Surplus on disposal of assets (Line number 4.6 of B_Profit_Loss_Account_Self)</t>
        </is>
      </c>
      <c r="C24" s="44">
        <f>PLA.ProfitOnDisposalOfAssetsBussS</f>
        <v/>
      </c>
      <c r="D24" s="44">
        <f>PLA.ProfitOnDisposalOfAssetsFarmS</f>
        <v/>
      </c>
      <c r="E24" s="44">
        <f>PLA.ProfitOnDisposalOfAssetsRentS</f>
        <v/>
      </c>
      <c r="F24" s="44">
        <f>PLA.ProfitOnDisposalOfAssetsIntS</f>
        <v/>
      </c>
      <c r="G24" s="44">
        <f>PLA.ProfitOnDisposalOfAssetsCommS</f>
        <v/>
      </c>
      <c r="H24" s="44">
        <f>PLA.ProfitOnDisposalOfAssetsOthS</f>
        <v/>
      </c>
      <c r="I24" s="44">
        <f>SUM(C24:H24)</f>
        <v/>
      </c>
      <c r="K24" s="205" t="n"/>
    </row>
    <row r="25" ht="17" customHeight="1" s="486">
      <c r="A25" s="258" t="n">
        <v>5.2</v>
      </c>
      <c r="B25" s="238" t="inlineStr">
        <is>
          <t>Capital Allowances</t>
        </is>
      </c>
      <c r="C25" s="45" t="n"/>
      <c r="D25" s="45" t="n"/>
      <c r="E25" s="45" t="n"/>
      <c r="F25" s="45" t="n"/>
      <c r="G25" s="45" t="n"/>
      <c r="H25" s="45" t="n"/>
      <c r="I25" s="44">
        <f>SUM(C25:H25)</f>
        <v/>
      </c>
      <c r="J25" s="580" t="n"/>
      <c r="K25" s="205" t="n"/>
    </row>
    <row r="26" ht="17" customHeight="1" s="486">
      <c r="A26" s="258" t="n">
        <v>5.3</v>
      </c>
      <c r="B26" s="238" t="inlineStr">
        <is>
          <t>Scientific research expenditure</t>
        </is>
      </c>
      <c r="C26" s="45" t="n"/>
      <c r="D26" s="45" t="n"/>
      <c r="E26" s="45" t="n"/>
      <c r="F26" s="45" t="n"/>
      <c r="G26" s="45" t="n"/>
      <c r="H26" s="45" t="n"/>
      <c r="I26" s="44">
        <f>SUM(C26:H26)</f>
        <v/>
      </c>
      <c r="K26" s="205" t="n"/>
    </row>
    <row r="27" ht="17" customHeight="1" s="486">
      <c r="A27" s="258" t="n">
        <v>5.4</v>
      </c>
      <c r="B27" s="238" t="inlineStr">
        <is>
          <t>Unrealized foreign exchange gains (Line number 4.7 of B_Profit_Loss_Account_Self)</t>
        </is>
      </c>
      <c r="C27" s="44">
        <f>PLA.unrealizedExchGainBussS</f>
        <v/>
      </c>
      <c r="D27" s="44">
        <f>PLA.unrealizedExchGainFarmS</f>
        <v/>
      </c>
      <c r="E27" s="44">
        <f>PLA.unrealizedExchGainRentS</f>
        <v/>
      </c>
      <c r="F27" s="44">
        <f>PLA.unrealizedExchGainIntS</f>
        <v/>
      </c>
      <c r="G27" s="44">
        <f>PLA.unrealizedExchGainCommS</f>
        <v/>
      </c>
      <c r="H27" s="44">
        <f>PLA.unrealizedExchGainOthS</f>
        <v/>
      </c>
      <c r="I27" s="44">
        <f>SUM(C27:H27)</f>
        <v/>
      </c>
      <c r="J27" s="580" t="n"/>
      <c r="K27" s="205" t="n"/>
    </row>
    <row r="28" ht="16" customHeight="1" s="486">
      <c r="A28" s="512" t="n"/>
      <c r="B28" s="491" t="n"/>
      <c r="C28" s="491" t="n"/>
      <c r="D28" s="491" t="n"/>
      <c r="E28" s="491" t="n"/>
      <c r="F28" s="491" t="n"/>
      <c r="G28" s="491" t="n"/>
      <c r="H28" s="491" t="n"/>
      <c r="I28" s="481" t="n"/>
      <c r="K28" s="205" t="n"/>
    </row>
    <row r="29" ht="17" customHeight="1" s="486">
      <c r="A29" s="258" t="n">
        <v>5.5</v>
      </c>
      <c r="B29" s="238" t="inlineStr">
        <is>
          <t>Other Allowable Deductions(Part II Total "Total of Other Allowable Deductions")</t>
        </is>
      </c>
      <c r="C29" s="44">
        <f>TaxComp.ODBussS</f>
        <v/>
      </c>
      <c r="D29" s="44">
        <f>TaxComp.ODFarmS</f>
        <v/>
      </c>
      <c r="E29" s="44">
        <f>TaxComp.ODRentS</f>
        <v/>
      </c>
      <c r="F29" s="44">
        <f>TaxComp.ODIntS</f>
        <v/>
      </c>
      <c r="G29" s="44">
        <f>TaxComp.ODCommS</f>
        <v/>
      </c>
      <c r="H29" s="44">
        <f>TaxComp.ODOthS</f>
        <v/>
      </c>
      <c r="I29" s="44">
        <f>SUM(C29:H29)</f>
        <v/>
      </c>
      <c r="K29" s="205" t="n"/>
    </row>
    <row r="30" ht="16" customHeight="1" s="486">
      <c r="A30" s="512" t="n"/>
      <c r="B30" s="491" t="n"/>
      <c r="C30" s="491" t="n"/>
      <c r="D30" s="491" t="n"/>
      <c r="E30" s="491" t="n"/>
      <c r="F30" s="491" t="n"/>
      <c r="G30" s="491" t="n"/>
      <c r="H30" s="491" t="n"/>
      <c r="I30" s="481" t="n"/>
      <c r="J30" s="580" t="n"/>
      <c r="K30" s="205" t="n"/>
    </row>
    <row r="31" ht="17" customHeight="1" s="486">
      <c r="A31" s="258" t="n">
        <v>6</v>
      </c>
      <c r="B31" s="196" t="inlineStr">
        <is>
          <t xml:space="preserve">Taxable Income from  Partnership Firm(s) </t>
        </is>
      </c>
      <c r="C31" s="44">
        <f>SUMIF(TypeOfIncomeS,"Business", TotalIncomePartershipS)</f>
        <v/>
      </c>
      <c r="D31" s="44">
        <f>SUMIF(TypeOfIncomeS,"Farming", TotalIncomePartershipS)</f>
        <v/>
      </c>
      <c r="E31" s="44">
        <f>SUMIF(TypeOfIncomeS,"Rental", TotalIncomePartershipS)</f>
        <v/>
      </c>
      <c r="F31" s="44">
        <f>SUMIF(TypeOfIncomeS,"Interest", TotalIncomePartershipS)</f>
        <v/>
      </c>
      <c r="G31" s="44">
        <f>SUMIF(TypeOfIncomeS,"Commission", TotalIncomePartershipS)</f>
        <v/>
      </c>
      <c r="H31" s="44">
        <f>SUMIF(TypeOfIncomeS,"Other", TotalIncomePartershipS)</f>
        <v/>
      </c>
      <c r="I31" s="44">
        <f>SUM(C31:H31)</f>
        <v/>
      </c>
      <c r="J31" s="580" t="n"/>
      <c r="K31" s="204" t="n"/>
    </row>
    <row r="32" ht="17" customHeight="1" s="486">
      <c r="A32" s="512" t="n">
        <v>7</v>
      </c>
      <c r="B32" s="203" t="inlineStr">
        <is>
          <t>Taxable Income (3+ 4 - 5+6)</t>
        </is>
      </c>
      <c r="C32" s="44">
        <f>ROUND(C5,2)+ROUND(C7,2)-ROUND(C23,2)+ROUND(C31,2)</f>
        <v/>
      </c>
      <c r="D32" s="44">
        <f>ROUND(D5,2)+ROUND(D7,2)-ROUND(D23,2)+ROUND(D31,2)</f>
        <v/>
      </c>
      <c r="E32" s="44">
        <f>ROUND(E5,2)+ROUND(E7,2)-ROUND(E23,2)+ROUND(E31,2)</f>
        <v/>
      </c>
      <c r="F32" s="44">
        <f>ROUND(F5,2)+ROUND(F7,2)-ROUND(F23,2)+ROUND(F31,2)</f>
        <v/>
      </c>
      <c r="G32" s="44">
        <f>ROUND(G5,2)+ROUND(G7,2)-ROUND(G23,2)+ROUND(G31,2)</f>
        <v/>
      </c>
      <c r="H32" s="44">
        <f>ROUND(H5,2)+ROUND(H7,2)-ROUND(H23,2)+ROUND(H31,2)</f>
        <v/>
      </c>
      <c r="I32" s="44">
        <f>SUM(C32:H32)</f>
        <v/>
      </c>
      <c r="J32" s="580" t="n"/>
      <c r="K32" s="204" t="n"/>
    </row>
    <row r="33" ht="34" customHeight="1" s="486">
      <c r="A33" s="258" t="n">
        <v>8</v>
      </c>
      <c r="B33" s="238" t="inlineStr">
        <is>
          <t>Less : Loss B/F from previous year offset against current year of income (Line 6 of S_Previous_Years_Losses )</t>
        </is>
      </c>
      <c r="C33" s="44">
        <f>DtlLossFrwd.BussLossAdjustS</f>
        <v/>
      </c>
      <c r="D33" s="44">
        <f>DtlLossFrwd.FarmLossAdjustS</f>
        <v/>
      </c>
      <c r="E33" s="44">
        <f>DtlLossFrwd.RentLossAdjustS</f>
        <v/>
      </c>
      <c r="F33" s="44">
        <f>DtlLossFrwd.InterestLossAdjustS</f>
        <v/>
      </c>
      <c r="G33" s="44">
        <f>DtlLossFrwd.CommLossAdjustS</f>
        <v/>
      </c>
      <c r="H33" s="44">
        <f>DtlLossFrwd.OtherLossAdjustS</f>
        <v/>
      </c>
      <c r="I33" s="44">
        <f>SUM(C33:H33)</f>
        <v/>
      </c>
      <c r="K33" s="204" t="n"/>
    </row>
    <row r="34" ht="17" customHeight="1" s="486">
      <c r="A34" s="512" t="n">
        <v>9</v>
      </c>
      <c r="B34" s="203" t="inlineStr">
        <is>
          <t>Adjusted Taxable Income (If 7-8 is positive, else 0)</t>
        </is>
      </c>
      <c r="C34" s="44">
        <f>IF(C32-C33&gt;0,ROUND(C32,2)-ROUND(C33,2),0)</f>
        <v/>
      </c>
      <c r="D34" s="44">
        <f>IF(D32-D33&gt;0,ROUND(D32,2)-ROUND(D33,2),0)</f>
        <v/>
      </c>
      <c r="E34" s="44">
        <f>IF(E32-E33&gt;0,ROUND(E32,2)-ROUND(E33,2),0)</f>
        <v/>
      </c>
      <c r="F34" s="44">
        <f>IF(F32-F33&gt;0,ROUND(F32,2)-ROUND(F33,2),0)</f>
        <v/>
      </c>
      <c r="G34" s="44">
        <f>IF(G32-G33&gt;0,ROUND(G32,2)-ROUND(G33,2),0)</f>
        <v/>
      </c>
      <c r="H34" s="44">
        <f>IF(H32-H33&gt;0,ROUND(H32,2)-ROUND(H33,2),0)</f>
        <v/>
      </c>
      <c r="I34" s="44">
        <f>SUM(C34:H34)</f>
        <v/>
      </c>
      <c r="J34" s="580" t="n"/>
    </row>
    <row r="35" ht="17" customHeight="1" s="486">
      <c r="A35" s="512" t="n">
        <v>10</v>
      </c>
      <c r="B35" s="203" t="inlineStr">
        <is>
          <t>Loss to be carried forward to next year for set off (If 7-8 is negative, else 0)</t>
        </is>
      </c>
      <c r="C35" s="44">
        <f>IF(C32-C33&lt;0,ROUND(C32,2)-ROUND(C33,2),0)</f>
        <v/>
      </c>
      <c r="D35" s="44">
        <f>IF(D32-D33&lt;0,ROUND(D32,2)-ROUND(D33,2),0)</f>
        <v/>
      </c>
      <c r="E35" s="44">
        <f>IF(E32-E33&lt;0,ROUND(E32,2)-ROUND(E33,2),0)</f>
        <v/>
      </c>
      <c r="F35" s="44">
        <f>IF(F32-F33&lt;0,ROUND(F32,2)-ROUND(F33,2),0)</f>
        <v/>
      </c>
      <c r="G35" s="44">
        <f>IF(G32-G33&lt;0,ROUND(G32,2)-ROUND(G33,2),0)</f>
        <v/>
      </c>
      <c r="H35" s="44">
        <f>IF(H32-H33&lt;0,ROUND(H32,2)-ROUND(H33,2),0)</f>
        <v/>
      </c>
      <c r="I35" s="44">
        <f>SUM(C35:H35)</f>
        <v/>
      </c>
    </row>
    <row r="36" ht="16" customFormat="1" customHeight="1" s="206">
      <c r="B36" s="182" t="inlineStr">
        <is>
          <t>lookup</t>
        </is>
      </c>
      <c r="C36" s="182" t="inlineStr">
        <is>
          <t>TAXBUSSH</t>
        </is>
      </c>
      <c r="D36" s="182" t="inlineStr">
        <is>
          <t>TAXFARMH</t>
        </is>
      </c>
      <c r="E36" s="182" t="inlineStr">
        <is>
          <t>TAXRENTH</t>
        </is>
      </c>
      <c r="F36" s="182" t="inlineStr">
        <is>
          <t>TAXINTH</t>
        </is>
      </c>
      <c r="G36" s="182" t="inlineStr">
        <is>
          <t>TAXCOMMH</t>
        </is>
      </c>
      <c r="H36" s="182" t="inlineStr">
        <is>
          <t>TAXOTHRH</t>
        </is>
      </c>
      <c r="I36" s="182" t="inlineStr">
        <is>
          <t>TAXCNSLH</t>
        </is>
      </c>
    </row>
    <row r="37" ht="31.5" customFormat="1" customHeight="1" s="206">
      <c r="B37" s="511" t="inlineStr">
        <is>
          <t>Part I : Other Disallowable Deductions</t>
        </is>
      </c>
      <c r="C37" s="491" t="n"/>
      <c r="D37" s="491" t="n"/>
      <c r="E37" s="491" t="n"/>
      <c r="F37" s="491" t="n"/>
      <c r="G37" s="491" t="n"/>
      <c r="H37" s="481" t="n"/>
      <c r="I37" s="182" t="n"/>
    </row>
    <row r="38" ht="21" customFormat="1" customHeight="1" s="206">
      <c r="B38" s="545" t="inlineStr">
        <is>
          <t>Name of Expense</t>
        </is>
      </c>
      <c r="C38" s="545" t="inlineStr">
        <is>
          <t>Business (Ksh)</t>
        </is>
      </c>
      <c r="D38" s="545" t="inlineStr">
        <is>
          <t>Farming (Ksh)</t>
        </is>
      </c>
      <c r="E38" s="545" t="inlineStr">
        <is>
          <t>Rental (Ksh)</t>
        </is>
      </c>
      <c r="F38" s="545" t="inlineStr">
        <is>
          <t>Interest (Ksh)</t>
        </is>
      </c>
      <c r="G38" s="545" t="inlineStr">
        <is>
          <t>Commission (Ksh)</t>
        </is>
      </c>
      <c r="H38" s="545" t="inlineStr">
        <is>
          <t>Other (Ksh)</t>
        </is>
      </c>
      <c r="I38" s="182" t="n"/>
    </row>
    <row r="39" ht="16" customFormat="1" customHeight="1" s="206">
      <c r="B39" s="43" t="n"/>
      <c r="C39" s="45" t="n"/>
      <c r="D39" s="45" t="n"/>
      <c r="E39" s="45" t="n"/>
      <c r="F39" s="45" t="n"/>
      <c r="G39" s="45" t="n"/>
      <c r="H39" s="45" t="n"/>
      <c r="I39" s="182">
        <f>IF(COUNTBLANK(B39:H39)=7,"","TAXEXPH")</f>
        <v/>
      </c>
    </row>
    <row r="40" ht="16" customFormat="1" customHeight="1" s="206">
      <c r="B40" s="43" t="n"/>
      <c r="C40" s="45" t="n"/>
      <c r="D40" s="45" t="n"/>
      <c r="E40" s="45" t="n"/>
      <c r="F40" s="45" t="n"/>
      <c r="G40" s="45" t="n"/>
      <c r="H40" s="45" t="n"/>
      <c r="I40" s="182">
        <f>IF(COUNTBLANK(B40:H40)=7,"","TAXEXPH")</f>
        <v/>
      </c>
    </row>
    <row r="41" ht="16" customFormat="1" customHeight="1" s="206">
      <c r="B41" s="43" t="n"/>
      <c r="C41" s="45" t="n"/>
      <c r="D41" s="45" t="n"/>
      <c r="E41" s="45" t="n"/>
      <c r="F41" s="45" t="n"/>
      <c r="G41" s="45" t="n"/>
      <c r="H41" s="45" t="n"/>
      <c r="I41" s="182">
        <f>IF(COUNTBLANK(B41:H41)=7,"","TAXEXPH")</f>
        <v/>
      </c>
    </row>
    <row r="42" ht="16" customFormat="1" customHeight="1" s="206">
      <c r="B42" s="43" t="n"/>
      <c r="C42" s="45" t="n"/>
      <c r="D42" s="45" t="n"/>
      <c r="E42" s="45" t="n"/>
      <c r="F42" s="45" t="n"/>
      <c r="G42" s="45" t="n"/>
      <c r="H42" s="45" t="n"/>
      <c r="I42" s="182">
        <f>IF(COUNTBLANK(B42:H42)=7,"","TAXEXPH")</f>
        <v/>
      </c>
    </row>
    <row r="43" ht="16" customFormat="1" customHeight="1" s="206">
      <c r="B43" s="43" t="n"/>
      <c r="C43" s="45" t="n"/>
      <c r="D43" s="45" t="n"/>
      <c r="E43" s="45" t="n"/>
      <c r="F43" s="45" t="n"/>
      <c r="G43" s="45" t="n"/>
      <c r="H43" s="45" t="n"/>
      <c r="I43" s="182">
        <f>IF(COUNTBLANK(B43:H43)=7,"","TAXEXPH")</f>
        <v/>
      </c>
    </row>
    <row r="44" ht="16" customFormat="1" customHeight="1" s="206">
      <c r="B44" s="43" t="n"/>
      <c r="C44" s="45" t="n"/>
      <c r="D44" s="45" t="n"/>
      <c r="E44" s="45" t="n"/>
      <c r="F44" s="45" t="n"/>
      <c r="G44" s="45" t="n"/>
      <c r="H44" s="45" t="n"/>
      <c r="I44" s="182">
        <f>IF(COUNTBLANK(B44:H44)=7,"","TAXEXPH")</f>
        <v/>
      </c>
    </row>
    <row r="45" ht="17" customFormat="1" customHeight="1" s="206">
      <c r="B45" s="181" t="inlineStr">
        <is>
          <t xml:space="preserve">Total of Other Expenses </t>
        </is>
      </c>
      <c r="C45" s="139">
        <f>SUM(C39:OFFSET(TaxComp.OEBussS,-1,0))</f>
        <v/>
      </c>
      <c r="D45" s="139">
        <f>SUM(D39:OFFSET(TaxComp.OEFarmS,-1,0))</f>
        <v/>
      </c>
      <c r="E45" s="139">
        <f>SUM(E39:OFFSET(TaxComp.OERentS,-1,0))</f>
        <v/>
      </c>
      <c r="F45" s="139">
        <f>SUM(F39:OFFSET(TaxComp.OEIntS,-1,0))</f>
        <v/>
      </c>
      <c r="G45" s="139">
        <f>SUM(G39:OFFSET(TaxComp.OECommS,-1,0))</f>
        <v/>
      </c>
      <c r="H45" s="139">
        <f>SUM(H39:OFFSET(TaxComp.OEOthS,-1,0))</f>
        <v/>
      </c>
      <c r="I45" s="182" t="n"/>
    </row>
    <row r="46" ht="19.5" customFormat="1" customHeight="1" s="206">
      <c r="B46" s="182" t="n"/>
      <c r="C46" s="182" t="n"/>
      <c r="D46" s="182" t="n"/>
      <c r="E46" s="182" t="n"/>
      <c r="F46" s="182" t="n"/>
      <c r="G46" s="182" t="n"/>
      <c r="H46" s="182" t="n"/>
      <c r="I46" s="182" t="n"/>
    </row>
    <row r="47" ht="19.5" customFormat="1" customHeight="1" s="206">
      <c r="B47" s="182" t="n"/>
      <c r="C47" s="182" t="n"/>
      <c r="D47" s="182" t="n"/>
      <c r="E47" s="182" t="n"/>
      <c r="F47" s="182" t="n"/>
      <c r="G47" s="182" t="n"/>
      <c r="H47" s="182" t="n"/>
      <c r="I47" s="182" t="n"/>
    </row>
    <row r="48" ht="31.5" customFormat="1" customHeight="1" s="206">
      <c r="B48" s="511" t="inlineStr">
        <is>
          <t>Part II : Other Allowable Deductions</t>
        </is>
      </c>
      <c r="C48" s="491" t="n"/>
      <c r="D48" s="491" t="n"/>
      <c r="E48" s="491" t="n"/>
      <c r="F48" s="491" t="n"/>
      <c r="G48" s="491" t="n"/>
      <c r="H48" s="481" t="n"/>
      <c r="I48" s="182" t="n"/>
    </row>
    <row r="49" ht="21" customFormat="1" customHeight="1" s="206">
      <c r="B49" s="545" t="inlineStr">
        <is>
          <t>Name of Deductions</t>
        </is>
      </c>
      <c r="C49" s="545" t="inlineStr">
        <is>
          <t>Business (Ksh)</t>
        </is>
      </c>
      <c r="D49" s="545" t="inlineStr">
        <is>
          <t>Farming (Ksh)</t>
        </is>
      </c>
      <c r="E49" s="545" t="inlineStr">
        <is>
          <t>Rental (Ksh)</t>
        </is>
      </c>
      <c r="F49" s="545" t="inlineStr">
        <is>
          <t>Interest (Ksh)</t>
        </is>
      </c>
      <c r="G49" s="545" t="inlineStr">
        <is>
          <t>Commission (Ksh)</t>
        </is>
      </c>
      <c r="H49" s="545" t="inlineStr">
        <is>
          <t>Other (Ksh)</t>
        </is>
      </c>
      <c r="I49" s="182" t="n"/>
    </row>
    <row r="50" ht="16" customFormat="1" customHeight="1" s="206">
      <c r="B50" s="43" t="n"/>
      <c r="C50" s="45" t="n"/>
      <c r="D50" s="45" t="n"/>
      <c r="E50" s="45" t="n"/>
      <c r="F50" s="45" t="n"/>
      <c r="G50" s="45" t="n"/>
      <c r="H50" s="45" t="n"/>
      <c r="I50" s="182">
        <f>IF(COUNTBLANK(B50:H50)=7,"","TAXDEDH")</f>
        <v/>
      </c>
    </row>
    <row r="51" ht="16" customFormat="1" customHeight="1" s="206">
      <c r="B51" s="43" t="n"/>
      <c r="C51" s="45" t="n"/>
      <c r="D51" s="45" t="n"/>
      <c r="E51" s="45" t="n"/>
      <c r="F51" s="45" t="n"/>
      <c r="G51" s="45" t="n"/>
      <c r="H51" s="45" t="n"/>
      <c r="I51" s="182">
        <f>IF(COUNTBLANK(B51:H51)=7,"","TAXDEDH")</f>
        <v/>
      </c>
    </row>
    <row r="52" ht="16" customFormat="1" customHeight="1" s="206">
      <c r="B52" s="43" t="n"/>
      <c r="C52" s="45" t="n"/>
      <c r="D52" s="45" t="n"/>
      <c r="E52" s="45" t="n"/>
      <c r="F52" s="45" t="n"/>
      <c r="G52" s="45" t="n"/>
      <c r="H52" s="45" t="n"/>
      <c r="I52" s="182">
        <f>IF(COUNTBLANK(B52:H52)=7,"","TAXDEDH")</f>
        <v/>
      </c>
    </row>
    <row r="53" ht="16" customFormat="1" customHeight="1" s="206">
      <c r="B53" s="43" t="n"/>
      <c r="C53" s="45" t="n"/>
      <c r="D53" s="45" t="n"/>
      <c r="E53" s="45" t="n"/>
      <c r="F53" s="45" t="n"/>
      <c r="G53" s="45" t="n"/>
      <c r="H53" s="45" t="n"/>
      <c r="I53" s="182">
        <f>IF(COUNTBLANK(B53:H53)=7,"","TAXDEDH")</f>
        <v/>
      </c>
    </row>
    <row r="54" ht="16" customFormat="1" customHeight="1" s="206">
      <c r="B54" s="43" t="n"/>
      <c r="C54" s="45" t="n"/>
      <c r="D54" s="45" t="n"/>
      <c r="E54" s="45" t="n"/>
      <c r="F54" s="45" t="n"/>
      <c r="G54" s="45" t="n"/>
      <c r="H54" s="45" t="n"/>
      <c r="I54" s="182">
        <f>IF(COUNTBLANK(B54:H54)=7,"","TAXDEDH")</f>
        <v/>
      </c>
    </row>
    <row r="55" ht="16" customFormat="1" customHeight="1" s="206">
      <c r="B55" s="43" t="n"/>
      <c r="C55" s="45" t="n"/>
      <c r="D55" s="45" t="n"/>
      <c r="E55" s="45" t="n"/>
      <c r="F55" s="45" t="n"/>
      <c r="G55" s="45" t="n"/>
      <c r="H55" s="45" t="n"/>
      <c r="I55" s="182">
        <f>IF(COUNTBLANK(B55:H55)=7,"","TAXDEDH")</f>
        <v/>
      </c>
    </row>
    <row r="56" ht="17" customFormat="1" customHeight="1" s="206">
      <c r="B56" s="181" t="inlineStr">
        <is>
          <t xml:space="preserve">Total of Other Deductions </t>
        </is>
      </c>
      <c r="C56" s="139">
        <f>SUM(C50:OFFSET(TaxComp.ODBussS,-1,0))</f>
        <v/>
      </c>
      <c r="D56" s="139">
        <f>SUM(D50:OFFSET(TaxComp.ODFarmS,-1,0))</f>
        <v/>
      </c>
      <c r="E56" s="139">
        <f>SUM(E50:OFFSET(TaxComp.ODRentS,-1,0))</f>
        <v/>
      </c>
      <c r="F56" s="139">
        <f>SUM(F50:OFFSET(TaxComp.ODIntS,-1,0))</f>
        <v/>
      </c>
      <c r="G56" s="139">
        <f>SUM(G50:OFFSET(TaxComp.ODCommS,-1,0))</f>
        <v/>
      </c>
      <c r="H56" s="139">
        <f>SUM(H50:OFFSET(TaxComp.ODOthS,-1,0))</f>
        <v/>
      </c>
      <c r="I56" s="182" t="n"/>
    </row>
    <row r="57" ht="16" customFormat="1" customHeight="1" s="206">
      <c r="B57" s="182" t="n"/>
      <c r="C57" s="182" t="n"/>
      <c r="D57" s="182" t="n"/>
      <c r="E57" s="182" t="n"/>
      <c r="F57" s="182" t="n"/>
      <c r="G57" s="182" t="n"/>
      <c r="H57" s="182" t="n"/>
      <c r="I57" s="182" t="n"/>
    </row>
    <row r="58" ht="37.5" customHeight="1" s="486">
      <c r="A58" s="206" t="n"/>
      <c r="B58" s="206" t="n"/>
      <c r="C58" s="206" t="n"/>
      <c r="D58" s="206" t="n"/>
      <c r="E58" s="206" t="n"/>
      <c r="F58" s="580" t="n"/>
    </row>
    <row r="59" ht="37.5" customHeight="1" s="486">
      <c r="A59" s="206" t="n"/>
      <c r="B59" s="206" t="n"/>
      <c r="C59" s="206" t="n"/>
      <c r="D59" s="206" t="n"/>
      <c r="E59" s="206" t="n"/>
    </row>
  </sheetData>
  <sheetProtection selectLockedCells="0" selectUnlockedCells="0" algorithmName="SHA-512" sheet="1" objects="1" insertRows="1" insertHyperlinks="1" autoFilter="1" scenarios="1" formatColumns="1" deleteColumns="1" insertColumns="1" pivotTables="1" deleteRows="1" formatCells="1" saltValue="j1+54n4TA9bO/oCs4iJlZQ==" formatRows="1" sort="1" spinCount="100000" hashValue="2Oj3IZpgPylOzo/F19TPiPacmOmazPX0YaqqzwGafBcdmvs1boLLGnBOGKXINw+++x4XVY34HCqyYet1a08huA=="/>
  <mergeCells count="24">
    <mergeCell ref="J13:J14"/>
    <mergeCell ref="J9:J10"/>
    <mergeCell ref="J34:J35"/>
    <mergeCell ref="J15:J16"/>
    <mergeCell ref="B37:H37"/>
    <mergeCell ref="J11:J12"/>
    <mergeCell ref="F58:J59"/>
    <mergeCell ref="A22:I22"/>
    <mergeCell ref="J7:J8"/>
    <mergeCell ref="A20:I20"/>
    <mergeCell ref="J32:J33"/>
    <mergeCell ref="A28:I28"/>
    <mergeCell ref="J25:J26"/>
    <mergeCell ref="B48:H48"/>
    <mergeCell ref="J3:J4"/>
    <mergeCell ref="J19:J21"/>
    <mergeCell ref="A30:I30"/>
    <mergeCell ref="J5:J6"/>
    <mergeCell ref="J17:J18"/>
    <mergeCell ref="A1:I1"/>
    <mergeCell ref="A6:I6"/>
    <mergeCell ref="J23:J24"/>
    <mergeCell ref="J27:J29"/>
    <mergeCell ref="J1:J2"/>
  </mergeCells>
  <dataValidations xWindow="1158" yWindow="422" count="5">
    <dataValidation sqref="C4:H4 C8:H10 C12:H13 C15:H15 C17:H20 C25:H26 C39:H44 C50:H55"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B39:B44 B50:B55"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operator="lessThanOrEqual">
      <formula1>50</formula1>
    </dataValidation>
    <dataValidation sqref="D3:I3 I4:I5 I7:I21 I23:I29 I31:I35" showDropDown="0" showInputMessage="0" showErrorMessage="1" allowBlank="0" type="decimal">
      <formula1>0</formula1>
      <formula2>1000000000000000</formula2>
    </dataValidation>
    <dataValidation sqref="C3" showDropDown="0" showInputMessage="0" showErrorMessage="1" allowBlank="0"/>
    <dataValidation sqref="C31:H31" showDropDown="0" showInputMessage="0" showErrorMessage="0" allowBlank="0" errorTitle="Data Error:" error="Please enter positive numeric value of length less than or equal to 15 digit." promptTitle="Numeric:" prompt="Enter numeric value of length less than or equal to 15 digit."/>
  </dataValidations>
  <pageMargins left="0.7" right="0.7" top="0.75" bottom="0.75" header="0.3" footer="0.3"/>
  <pageSetup orientation="portrait"/>
  <drawing r:id="rId1"/>
</worksheet>
</file>

<file path=xl/worksheets/sheet32.xml><?xml version="1.0" encoding="utf-8"?>
<worksheet xmlns:r="http://schemas.openxmlformats.org/officeDocument/2006/relationships" xmlns="http://schemas.openxmlformats.org/spreadsheetml/2006/main">
  <sheetPr codeName="Sheet19">
    <outlinePr summaryBelow="1" summaryRight="1"/>
    <pageSetUpPr/>
  </sheetPr>
  <dimension ref="A1:K56"/>
  <sheetViews>
    <sheetView topLeftCell="A46" workbookViewId="0">
      <selection activeCell="B49" sqref="B49"/>
    </sheetView>
  </sheetViews>
  <sheetFormatPr baseColWidth="10" defaultColWidth="0" defaultRowHeight="15" customHeight="1" zeroHeight="1"/>
  <cols>
    <col width="8.5" customWidth="1" style="581" min="1" max="1"/>
    <col width="80.6640625" customWidth="1" style="581" min="2" max="2"/>
    <col width="27.6640625" customWidth="1" style="581" min="3" max="9"/>
    <col width="14.33203125" customWidth="1" style="581" min="10" max="10"/>
    <col hidden="1" width="27.6640625" customWidth="1" style="581" min="11" max="11"/>
    <col hidden="1" width="13" customWidth="1" style="581" min="12" max="12"/>
    <col hidden="1" width="13" customWidth="1" style="581" min="13" max="16384"/>
  </cols>
  <sheetData>
    <row r="1" ht="31.5" customHeight="1" s="486">
      <c r="A1" s="579" t="inlineStr">
        <is>
          <t>Section T : Tax Computation (Wife)</t>
        </is>
      </c>
      <c r="B1" s="491" t="n"/>
      <c r="C1" s="491" t="n"/>
      <c r="D1" s="491" t="n"/>
      <c r="E1" s="491" t="n"/>
      <c r="F1" s="491" t="n"/>
      <c r="G1" s="491" t="n"/>
      <c r="H1" s="491" t="n"/>
      <c r="I1" s="491" t="n"/>
      <c r="J1" s="580" t="n"/>
    </row>
    <row r="2" ht="21" customHeight="1" s="486">
      <c r="A2" s="545" t="inlineStr">
        <is>
          <t>Sr. No.</t>
        </is>
      </c>
      <c r="B2" s="545" t="inlineStr">
        <is>
          <t>Description</t>
        </is>
      </c>
      <c r="C2" s="545" t="inlineStr">
        <is>
          <t>Business (Ksh)</t>
        </is>
      </c>
      <c r="D2" s="545" t="inlineStr">
        <is>
          <t>Farming (Ksh)</t>
        </is>
      </c>
      <c r="E2" s="545" t="inlineStr">
        <is>
          <t>Rental (Ksh)</t>
        </is>
      </c>
      <c r="F2" s="545" t="inlineStr">
        <is>
          <t>Interest (Ksh)</t>
        </is>
      </c>
      <c r="G2" s="545" t="inlineStr">
        <is>
          <t>Commission (Ksh)</t>
        </is>
      </c>
      <c r="H2" s="545" t="inlineStr">
        <is>
          <t>Other (Ksh)</t>
        </is>
      </c>
      <c r="I2" s="545" t="inlineStr">
        <is>
          <t>Consolidated (Ksh)</t>
        </is>
      </c>
    </row>
    <row r="3" ht="34" customHeight="1" s="486">
      <c r="A3" s="258" t="n">
        <v>1</v>
      </c>
      <c r="B3" s="238" t="inlineStr">
        <is>
          <t>Profit / Surplus / Loss as per Profit / Surplus &amp; Loss Account (Line number 9 of B_Profit_Loss_Account_Wife)</t>
        </is>
      </c>
      <c r="C3" s="44">
        <f>PLA.ProfitLossBeforeTaxBussW</f>
        <v/>
      </c>
      <c r="D3" s="44">
        <f>PLA.ProfitLossBeforeTaxFarmW</f>
        <v/>
      </c>
      <c r="E3" s="44">
        <f>PLA.ProfitLossBeforeTaxRentW</f>
        <v/>
      </c>
      <c r="F3" s="44">
        <f>PLA.ProfitLossBeforeTaxIntW</f>
        <v/>
      </c>
      <c r="G3" s="44">
        <f>PLA.ProfitLossBeforeTaxCommW</f>
        <v/>
      </c>
      <c r="H3" s="44">
        <f>PLA.ProfitLossBeforeTaxOtherW</f>
        <v/>
      </c>
      <c r="I3" s="44">
        <f>SUM(C3:H3)</f>
        <v/>
      </c>
      <c r="J3" s="580" t="n"/>
      <c r="K3" s="205" t="n"/>
    </row>
    <row r="4" ht="17" customHeight="1" s="486">
      <c r="A4" s="258" t="n">
        <v>2</v>
      </c>
      <c r="B4" s="238" t="inlineStr">
        <is>
          <t>Less Exempt income (if included in Profit / Surplus and Loss Account)</t>
        </is>
      </c>
      <c r="C4" s="44" t="n"/>
      <c r="D4" s="44" t="n"/>
      <c r="E4" s="44" t="n"/>
      <c r="F4" s="44" t="n"/>
      <c r="G4" s="44" t="n"/>
      <c r="H4" s="44" t="n"/>
      <c r="I4" s="44">
        <f>SUM(C4:H4)</f>
        <v/>
      </c>
      <c r="K4" s="205" t="n"/>
    </row>
    <row r="5" ht="17" customHeight="1" s="486">
      <c r="A5" s="512" t="n">
        <v>3</v>
      </c>
      <c r="B5" s="203" t="inlineStr">
        <is>
          <t>Adjusted Profit / Loss as per Profit &amp; Loss Account (1-2)</t>
        </is>
      </c>
      <c r="C5" s="44">
        <f>ROUND(C3,2)-ROUND(C4,2)</f>
        <v/>
      </c>
      <c r="D5" s="44">
        <f>ROUND(D3,2)-ROUND(D4,2)</f>
        <v/>
      </c>
      <c r="E5" s="44">
        <f>ROUND(E3,2)-ROUND(E4,2)</f>
        <v/>
      </c>
      <c r="F5" s="44">
        <f>ROUND(F3,2)-ROUND(F4,2)</f>
        <v/>
      </c>
      <c r="G5" s="44">
        <f>ROUND(G3,2)-ROUND(G4,2)</f>
        <v/>
      </c>
      <c r="H5" s="44">
        <f>ROUND(H3,2)-ROUND(H4,2)</f>
        <v/>
      </c>
      <c r="I5" s="44">
        <f>SUM(C5:H5)</f>
        <v/>
      </c>
      <c r="J5" s="580" t="n"/>
      <c r="K5" s="204" t="n"/>
    </row>
    <row r="6" ht="16" customHeight="1" s="486">
      <c r="A6" s="512" t="n"/>
      <c r="B6" s="491" t="n"/>
      <c r="C6" s="491" t="n"/>
      <c r="D6" s="491" t="n"/>
      <c r="E6" s="491" t="n"/>
      <c r="F6" s="491" t="n"/>
      <c r="G6" s="491" t="n"/>
      <c r="H6" s="491" t="n"/>
      <c r="I6" s="481" t="n"/>
      <c r="K6" s="205" t="n"/>
    </row>
    <row r="7" ht="17" customHeight="1" s="486">
      <c r="A7" s="512" t="n">
        <v>4</v>
      </c>
      <c r="B7" s="203" t="inlineStr">
        <is>
          <t>Add Back: Disallowable Deductions (4.1 to 4.13)</t>
        </is>
      </c>
      <c r="C7" s="44">
        <f>SUM(C8:C21)</f>
        <v/>
      </c>
      <c r="D7" s="44">
        <f>SUM(D8:D21)</f>
        <v/>
      </c>
      <c r="E7" s="44">
        <f>SUM(E8:E21)</f>
        <v/>
      </c>
      <c r="F7" s="44">
        <f>SUM(F8:F21)</f>
        <v/>
      </c>
      <c r="G7" s="44">
        <f>SUM(G8:G21)</f>
        <v/>
      </c>
      <c r="H7" s="44">
        <f>SUM(H8:H21)</f>
        <v/>
      </c>
      <c r="I7" s="44">
        <f>SUM(C7:H7)</f>
        <v/>
      </c>
      <c r="J7" s="580" t="n"/>
      <c r="K7" s="205" t="n"/>
    </row>
    <row r="8" ht="17" customHeight="1" s="486">
      <c r="A8" s="258" t="n">
        <v>4.1</v>
      </c>
      <c r="B8" s="238" t="inlineStr">
        <is>
          <t>Depreciation ((Line number 2.4.5 + Line number 6.1 of B_Profit_Loss_Account_Wife)</t>
        </is>
      </c>
      <c r="C8" s="44">
        <f>PLA.deprBussW+PLA.deprAdminBussW</f>
        <v/>
      </c>
      <c r="D8" s="44">
        <f>PLA.deprAdminFarmW+PLA.deprFarmW</f>
        <v/>
      </c>
      <c r="E8" s="44">
        <f>PLA.deprRentW+PLA.deprAdminRentW</f>
        <v/>
      </c>
      <c r="F8" s="44">
        <f>PLA.deprIntW+PLA.deprAdminIntW</f>
        <v/>
      </c>
      <c r="G8" s="44">
        <f>PLA.deprCommW+PLA.deprAdminCommW</f>
        <v/>
      </c>
      <c r="H8" s="44">
        <f>PLA.deprOtherW+PLA.deprAdminOthW</f>
        <v/>
      </c>
      <c r="I8" s="44">
        <f>SUM(C8:H8)</f>
        <v/>
      </c>
      <c r="K8" s="205" t="n"/>
    </row>
    <row r="9" ht="17" customHeight="1" s="486">
      <c r="A9" s="258" t="n">
        <v>4.2</v>
      </c>
      <c r="B9" s="238" t="inlineStr">
        <is>
          <t>Entertainment Expenses (to the extent not allowable)</t>
        </is>
      </c>
      <c r="C9" s="44" t="n"/>
      <c r="D9" s="44" t="n"/>
      <c r="E9" s="44" t="n"/>
      <c r="F9" s="44" t="n"/>
      <c r="G9" s="44" t="n"/>
      <c r="H9" s="44" t="n"/>
      <c r="I9" s="44">
        <f>SUM(C9:H9)</f>
        <v/>
      </c>
      <c r="J9" s="580" t="n"/>
      <c r="K9" s="205" t="n"/>
    </row>
    <row r="10" ht="17" customHeight="1" s="486">
      <c r="A10" s="258" t="n">
        <v>4.3</v>
      </c>
      <c r="B10" s="238" t="inlineStr">
        <is>
          <t>Expenses related to Exempt Income (if debited to P &amp; L)</t>
        </is>
      </c>
      <c r="C10" s="44" t="n"/>
      <c r="D10" s="44" t="n"/>
      <c r="E10" s="44" t="n"/>
      <c r="F10" s="44" t="n"/>
      <c r="G10" s="44" t="n"/>
      <c r="H10" s="44" t="n"/>
      <c r="I10" s="44">
        <f>SUM(C10:H10)</f>
        <v/>
      </c>
      <c r="K10" s="205" t="n"/>
    </row>
    <row r="11" ht="34" customHeight="1" s="486">
      <c r="A11" s="258" t="n">
        <v>4.4</v>
      </c>
      <c r="B11" s="238" t="inlineStr">
        <is>
          <t>Loss on disposal of  depreciable assets (Line number 6.2 of B_Profit_Loss_Account_Wife)</t>
        </is>
      </c>
      <c r="C11" s="44">
        <f>PLA.LossOnDisposalBussW</f>
        <v/>
      </c>
      <c r="D11" s="44">
        <f>PLA.LossOnDisposalFarmW</f>
        <v/>
      </c>
      <c r="E11" s="44">
        <f>PLA.LossOnDisposalRentW</f>
        <v/>
      </c>
      <c r="F11" s="44">
        <f>PLA.LossOnDisposalIntW</f>
        <v/>
      </c>
      <c r="G11" s="44">
        <f>PLA.LossOnDisposalCommW</f>
        <v/>
      </c>
      <c r="H11" s="44">
        <f>PLA.LossOnDisposalOthW</f>
        <v/>
      </c>
      <c r="I11" s="44">
        <f>SUM(C11:H11)</f>
        <v/>
      </c>
      <c r="J11" s="580" t="n"/>
      <c r="K11" s="205" t="n"/>
    </row>
    <row r="12" ht="17" customHeight="1" s="486">
      <c r="A12" s="258" t="n">
        <v>4.5</v>
      </c>
      <c r="B12" s="238" t="inlineStr">
        <is>
          <t>Balancing Charge</t>
        </is>
      </c>
      <c r="C12" s="44" t="n"/>
      <c r="D12" s="44" t="n"/>
      <c r="E12" s="44" t="n"/>
      <c r="F12" s="44" t="n"/>
      <c r="G12" s="44" t="n"/>
      <c r="H12" s="44" t="n"/>
      <c r="I12" s="44">
        <f>SUM(C12:H12)</f>
        <v/>
      </c>
      <c r="K12" s="205" t="n"/>
    </row>
    <row r="13" ht="17" customHeight="1" s="486">
      <c r="A13" s="258" t="n">
        <v>4.6</v>
      </c>
      <c r="B13" s="238" t="inlineStr">
        <is>
          <t>Donations</t>
        </is>
      </c>
      <c r="C13" s="44" t="n"/>
      <c r="D13" s="44" t="n"/>
      <c r="E13" s="44" t="n"/>
      <c r="F13" s="44" t="n"/>
      <c r="G13" s="44" t="n"/>
      <c r="H13" s="44" t="n"/>
      <c r="I13" s="44">
        <f>SUM(C13:H13)</f>
        <v/>
      </c>
      <c r="J13" s="580" t="n"/>
      <c r="K13" s="205" t="n"/>
    </row>
    <row r="14" ht="34" customHeight="1" s="486">
      <c r="A14" s="258" t="n">
        <v>4.7</v>
      </c>
      <c r="B14" s="238" t="inlineStr">
        <is>
          <t>General Provisions for bad and doubtful debts debited to P&amp;L (Line number 5.15 of B_Profit_Loss_Account_Wife)</t>
        </is>
      </c>
      <c r="C14" s="44">
        <f>PLA.ProvBadDebtsBussW</f>
        <v/>
      </c>
      <c r="D14" s="44">
        <f>PLA.ProvBadDebtsFarmW</f>
        <v/>
      </c>
      <c r="E14" s="44">
        <f>PLA.ProvBadDebtsRentW</f>
        <v/>
      </c>
      <c r="F14" s="44">
        <f>PLA.ProvBadDebtsIntW</f>
        <v/>
      </c>
      <c r="G14" s="44">
        <f>PLA.ProvBadDebtsCommW</f>
        <v/>
      </c>
      <c r="H14" s="44">
        <f>PLA.ProvBadDebtsOtherW</f>
        <v/>
      </c>
      <c r="I14" s="44">
        <f>SUM(C14:H14)</f>
        <v/>
      </c>
      <c r="K14" s="205" t="n"/>
    </row>
    <row r="15" ht="17" customHeight="1" s="486">
      <c r="A15" s="258" t="n">
        <v>4.8</v>
      </c>
      <c r="B15" s="238" t="inlineStr">
        <is>
          <t xml:space="preserve">Start up cost/ Pre-operating expenses </t>
        </is>
      </c>
      <c r="C15" s="44" t="n"/>
      <c r="D15" s="44" t="n"/>
      <c r="E15" s="44" t="n"/>
      <c r="F15" s="44" t="n"/>
      <c r="G15" s="44" t="n"/>
      <c r="H15" s="44" t="n"/>
      <c r="I15" s="44">
        <f>SUM(C15:H15)</f>
        <v/>
      </c>
      <c r="J15" s="580" t="n"/>
      <c r="K15" s="205" t="n"/>
    </row>
    <row r="16" ht="17" customHeight="1" s="486">
      <c r="A16" s="258" t="n">
        <v>4.9</v>
      </c>
      <c r="B16" s="238" t="inlineStr">
        <is>
          <t>Unrealized foreign exchange loss (Line number 7.6 of B_Profit_Loss_Account_Wife)</t>
        </is>
      </c>
      <c r="C16" s="44">
        <f>PLA.unrealizedExchLossBussW</f>
        <v/>
      </c>
      <c r="D16" s="44">
        <f>PLA.unrealizedExchLossFarmW</f>
        <v/>
      </c>
      <c r="E16" s="44">
        <f>PLA.unrealizedExchLossRentW</f>
        <v/>
      </c>
      <c r="F16" s="44">
        <f>PLA.unrealizedExchLossIntW</f>
        <v/>
      </c>
      <c r="G16" s="44">
        <f>PLA.unrealizedExchLossCommW</f>
        <v/>
      </c>
      <c r="H16" s="44">
        <f>PLA.unrealizedExchLossOthW</f>
        <v/>
      </c>
      <c r="I16" s="44">
        <f>SUM(C16:H16)</f>
        <v/>
      </c>
      <c r="K16" s="205" t="n"/>
    </row>
    <row r="17" ht="17" customHeight="1" s="486">
      <c r="A17" s="259" t="inlineStr">
        <is>
          <t>4.10</t>
        </is>
      </c>
      <c r="B17" s="238" t="inlineStr">
        <is>
          <t>Operating Expenses</t>
        </is>
      </c>
      <c r="C17" s="44" t="n"/>
      <c r="D17" s="44" t="n"/>
      <c r="E17" s="44" t="n"/>
      <c r="F17" s="44" t="n"/>
      <c r="G17" s="44" t="n"/>
      <c r="H17" s="44" t="n"/>
      <c r="I17" s="44">
        <f>SUM(C17:H17)</f>
        <v/>
      </c>
      <c r="J17" s="580" t="n"/>
      <c r="K17" s="205" t="n"/>
    </row>
    <row r="18" ht="17" customHeight="1" s="486">
      <c r="A18" s="258" t="n">
        <v>4.11</v>
      </c>
      <c r="B18" s="238" t="inlineStr">
        <is>
          <t>Administrative Expenses</t>
        </is>
      </c>
      <c r="C18" s="44" t="n"/>
      <c r="D18" s="44" t="n"/>
      <c r="E18" s="44" t="n"/>
      <c r="F18" s="44" t="n"/>
      <c r="G18" s="44" t="n"/>
      <c r="H18" s="44" t="n"/>
      <c r="I18" s="44">
        <f>SUM(C18:H18)</f>
        <v/>
      </c>
      <c r="K18" s="205" t="n"/>
    </row>
    <row r="19" ht="17" customHeight="1" s="486">
      <c r="A19" s="258" t="n">
        <v>4.12</v>
      </c>
      <c r="B19" s="238" t="inlineStr">
        <is>
          <t>Financial expenses</t>
        </is>
      </c>
      <c r="C19" s="44" t="n"/>
      <c r="D19" s="44" t="n"/>
      <c r="E19" s="44" t="n"/>
      <c r="F19" s="44" t="n"/>
      <c r="G19" s="44" t="n"/>
      <c r="H19" s="44" t="n"/>
      <c r="I19" s="44">
        <f>SUM(C19:H19)</f>
        <v/>
      </c>
      <c r="J19" s="580" t="n"/>
      <c r="K19" s="205" t="n"/>
    </row>
    <row r="20" ht="16" customHeight="1" s="486">
      <c r="A20" s="512" t="n"/>
      <c r="B20" s="491" t="n"/>
      <c r="C20" s="491" t="n"/>
      <c r="D20" s="491" t="n"/>
      <c r="E20" s="491" t="n"/>
      <c r="F20" s="491" t="n"/>
      <c r="G20" s="491" t="n"/>
      <c r="H20" s="491" t="n"/>
      <c r="I20" s="481" t="n"/>
      <c r="K20" s="205" t="n"/>
    </row>
    <row r="21" ht="17" customHeight="1" s="486">
      <c r="A21" s="258" t="n">
        <v>4.13</v>
      </c>
      <c r="B21" s="238" t="inlineStr">
        <is>
          <t>Other Disallowable Deductions(Part I Total "Total of Other Disallowable Deductions")</t>
        </is>
      </c>
      <c r="C21" s="44">
        <f>TaxComp.OEBussW</f>
        <v/>
      </c>
      <c r="D21" s="44">
        <f>TaxComp.OEFarmW</f>
        <v/>
      </c>
      <c r="E21" s="44">
        <f>TaxComp.OERentW</f>
        <v/>
      </c>
      <c r="F21" s="44">
        <f>TaxComp.OEIntW</f>
        <v/>
      </c>
      <c r="G21" s="44">
        <f>TaxComp.OECommW</f>
        <v/>
      </c>
      <c r="H21" s="44">
        <f>TaxComp.OEOthW</f>
        <v/>
      </c>
      <c r="I21" s="44">
        <f>SUM(C21:H21)</f>
        <v/>
      </c>
      <c r="K21" s="205" t="n"/>
    </row>
    <row r="22" ht="16" customHeight="1" s="486">
      <c r="A22" s="512" t="n"/>
      <c r="B22" s="491" t="n"/>
      <c r="C22" s="491" t="n"/>
      <c r="D22" s="491" t="n"/>
      <c r="E22" s="491" t="n"/>
      <c r="F22" s="491" t="n"/>
      <c r="G22" s="491" t="n"/>
      <c r="H22" s="491" t="n"/>
      <c r="I22" s="481" t="n"/>
      <c r="J22" s="580" t="n"/>
      <c r="K22" s="205" t="n"/>
    </row>
    <row r="23" ht="17" customHeight="1" s="486">
      <c r="A23" s="512" t="n">
        <v>5</v>
      </c>
      <c r="B23" s="203" t="inlineStr">
        <is>
          <t>Deduct: Allowable Deductions (5.1 to 5.5)</t>
        </is>
      </c>
      <c r="C23" s="44">
        <f>SUM(C24:C29)</f>
        <v/>
      </c>
      <c r="D23" s="44">
        <f>SUM(D24:D29)</f>
        <v/>
      </c>
      <c r="E23" s="44">
        <f>SUM(E24:E29)</f>
        <v/>
      </c>
      <c r="F23" s="44">
        <f>SUM(F24:F29)</f>
        <v/>
      </c>
      <c r="G23" s="44">
        <f>SUM(G24:G29)</f>
        <v/>
      </c>
      <c r="H23" s="44">
        <f>SUM(H24:H29)</f>
        <v/>
      </c>
      <c r="I23" s="44">
        <f>SUM(C23:H23)</f>
        <v/>
      </c>
      <c r="J23" s="580" t="n"/>
      <c r="K23" s="205" t="n"/>
    </row>
    <row r="24" ht="17" customHeight="1" s="486">
      <c r="A24" s="258" t="n">
        <v>5.1</v>
      </c>
      <c r="B24" s="238" t="inlineStr">
        <is>
          <t>Profit / Surplus on disposal of assets (Line number 4.6 of B_Profit_Loss_Account_Wife)</t>
        </is>
      </c>
      <c r="C24" s="44">
        <f>PLA.ProfitOnDisposalOfAssetsBussW</f>
        <v/>
      </c>
      <c r="D24" s="44">
        <f>PLA.ProfitOnDisposalOfAssetsFarmW</f>
        <v/>
      </c>
      <c r="E24" s="44">
        <f>PLA.ProfitOnDisposalOfAssetsRentW</f>
        <v/>
      </c>
      <c r="F24" s="44">
        <f>PLA.ProfitOnDisposalOfAssetsIntW</f>
        <v/>
      </c>
      <c r="G24" s="44">
        <f>PLA.ProfitOnDisposalOfAssetsCommW</f>
        <v/>
      </c>
      <c r="H24" s="44">
        <f>PLA.ProfitOnDisposalOfAssetsOtherW</f>
        <v/>
      </c>
      <c r="I24" s="44">
        <f>SUM(C24:H24)</f>
        <v/>
      </c>
      <c r="K24" s="205" t="n"/>
    </row>
    <row r="25" ht="17" customHeight="1" s="486">
      <c r="A25" s="258" t="n">
        <v>5.2</v>
      </c>
      <c r="B25" s="238" t="inlineStr">
        <is>
          <t>Capital Allowances</t>
        </is>
      </c>
      <c r="C25" s="44" t="n"/>
      <c r="D25" s="44" t="n"/>
      <c r="E25" s="44" t="n"/>
      <c r="F25" s="44" t="n"/>
      <c r="G25" s="44" t="n"/>
      <c r="H25" s="44" t="n"/>
      <c r="I25" s="44">
        <f>SUM(C25:H25)</f>
        <v/>
      </c>
      <c r="J25" s="580" t="n"/>
      <c r="K25" s="205" t="n"/>
    </row>
    <row r="26" ht="17" customHeight="1" s="486">
      <c r="A26" s="258" t="n">
        <v>5.3</v>
      </c>
      <c r="B26" s="238" t="inlineStr">
        <is>
          <t>Scientific research expenditure</t>
        </is>
      </c>
      <c r="C26" s="44" t="n"/>
      <c r="D26" s="44" t="n"/>
      <c r="E26" s="44" t="n"/>
      <c r="F26" s="44" t="n"/>
      <c r="G26" s="44" t="n"/>
      <c r="H26" s="44" t="n"/>
      <c r="I26" s="44">
        <f>SUM(C26:H26)</f>
        <v/>
      </c>
      <c r="K26" s="205" t="n"/>
    </row>
    <row r="27" ht="17" customHeight="1" s="486">
      <c r="A27" s="258" t="n">
        <v>5.4</v>
      </c>
      <c r="B27" s="238" t="inlineStr">
        <is>
          <t>Unrealized foreign exchange gains (Line number 4.7 of B_Profit_Loss_Account_Wife)</t>
        </is>
      </c>
      <c r="C27" s="44">
        <f>PLA.unrealizedExchGainBussW</f>
        <v/>
      </c>
      <c r="D27" s="44">
        <f>PLA.unrealizedExchGainFarmW</f>
        <v/>
      </c>
      <c r="E27" s="44">
        <f>PLA.unrealizedExchGainRentW</f>
        <v/>
      </c>
      <c r="F27" s="44">
        <f>PLA.unrealizedExchGainIntW</f>
        <v/>
      </c>
      <c r="G27" s="44">
        <f>PLA.unrealizedExchGainCommW</f>
        <v/>
      </c>
      <c r="H27" s="44">
        <f>PLA.unrealizedExchGainOtherW</f>
        <v/>
      </c>
      <c r="I27" s="44">
        <f>SUM(C27:H27)</f>
        <v/>
      </c>
      <c r="J27" s="580" t="n"/>
      <c r="K27" s="205" t="n"/>
    </row>
    <row r="28" ht="16" customHeight="1" s="486">
      <c r="A28" s="512" t="n"/>
      <c r="B28" s="491" t="n"/>
      <c r="C28" s="491" t="n"/>
      <c r="D28" s="491" t="n"/>
      <c r="E28" s="491" t="n"/>
      <c r="F28" s="491" t="n"/>
      <c r="G28" s="491" t="n"/>
      <c r="H28" s="491" t="n"/>
      <c r="I28" s="481" t="n"/>
      <c r="K28" s="205" t="n"/>
    </row>
    <row r="29" ht="17" customHeight="1" s="486">
      <c r="A29" s="258" t="n">
        <v>5.5</v>
      </c>
      <c r="B29" s="238" t="inlineStr">
        <is>
          <t>Other Allowable Deductions(Part II Total "Total of Other Allowable Deductions")</t>
        </is>
      </c>
      <c r="C29" s="44">
        <f>TaxComp.ODBussW</f>
        <v/>
      </c>
      <c r="D29" s="44">
        <f>TaxComp.ODFarmW</f>
        <v/>
      </c>
      <c r="E29" s="44">
        <f>TaxComp.ODRentW</f>
        <v/>
      </c>
      <c r="F29" s="44">
        <f>TaxComp.ODIntW</f>
        <v/>
      </c>
      <c r="G29" s="44">
        <f>TaxComp.ODCommW</f>
        <v/>
      </c>
      <c r="H29" s="44">
        <f>TaxComp.ODOthW</f>
        <v/>
      </c>
      <c r="I29" s="44">
        <f>SUM(C29:H29)</f>
        <v/>
      </c>
      <c r="K29" s="205" t="n"/>
    </row>
    <row r="30" ht="16" customHeight="1" s="486">
      <c r="A30" s="512" t="n"/>
      <c r="B30" s="491" t="n"/>
      <c r="C30" s="491" t="n"/>
      <c r="D30" s="491" t="n"/>
      <c r="E30" s="491" t="n"/>
      <c r="F30" s="491" t="n"/>
      <c r="G30" s="491" t="n"/>
      <c r="H30" s="491" t="n"/>
      <c r="I30" s="481" t="n"/>
      <c r="J30" s="580" t="n"/>
      <c r="K30" s="205" t="n"/>
    </row>
    <row r="31" ht="17" customHeight="1" s="486">
      <c r="A31" s="258" t="n">
        <v>6</v>
      </c>
      <c r="B31" s="238" t="inlineStr">
        <is>
          <t xml:space="preserve"> Taxable Income from  Partnership Firm(s)</t>
        </is>
      </c>
      <c r="C31" s="44">
        <f>SUMIF(TypeOfIncomeW,"Business", TotalIncomePartershipW)</f>
        <v/>
      </c>
      <c r="D31" s="44">
        <f>SUMIF(TypeOfIncomeW,"Farming", TotalIncomePartershipW)</f>
        <v/>
      </c>
      <c r="E31" s="44">
        <f>SUMIF(TypeOfIncomeW,"Rental", TotalIncomePartershipW)</f>
        <v/>
      </c>
      <c r="F31" s="44">
        <f>SUMIF(TypeOfIncomeW,"Interest", TotalIncomePartershipW)</f>
        <v/>
      </c>
      <c r="G31" s="44">
        <f>SUMIF(TypeOfIncomeW,"Commission", TotalIncomePartershipW)</f>
        <v/>
      </c>
      <c r="H31" s="44">
        <f>SUMIF(TypeOfIncomeW,"Other", TotalIncomePartershipW)</f>
        <v/>
      </c>
      <c r="I31" s="44">
        <f>SUM(C31:H31)</f>
        <v/>
      </c>
      <c r="J31" s="580" t="n"/>
      <c r="K31" s="204" t="n"/>
    </row>
    <row r="32" ht="17" customHeight="1" s="486">
      <c r="A32" s="512" t="n">
        <v>7</v>
      </c>
      <c r="B32" s="203" t="inlineStr">
        <is>
          <t>Taxable Income (3+ 4 - 5+6)</t>
        </is>
      </c>
      <c r="C32" s="44">
        <f>ROUND(C5,2)+ROUND(C7,2)-ROUND(C23,2)+ROUND(C31,2)</f>
        <v/>
      </c>
      <c r="D32" s="44">
        <f>ROUND(D5,2)+ROUND(D7,2)-ROUND(D23,2)+ROUND(D31,2)</f>
        <v/>
      </c>
      <c r="E32" s="44">
        <f>ROUND(E5,2)+ROUND(E7,2)-ROUND(E23,2)+ROUND(E31,2)</f>
        <v/>
      </c>
      <c r="F32" s="44">
        <f>ROUND(F5,2)+ROUND(F7,2)-ROUND(F23,2)+ROUND(F31,2)</f>
        <v/>
      </c>
      <c r="G32" s="44">
        <f>ROUND(G5,2)+ROUND(G7,2)-ROUND(G23,2)+ROUND(G31,2)</f>
        <v/>
      </c>
      <c r="H32" s="44">
        <f>ROUND(H5,2)+ROUND(H7,2)-ROUND(H23,2)+ROUND(H31,2)</f>
        <v/>
      </c>
      <c r="I32" s="44">
        <f>SUM(C32:H32)</f>
        <v/>
      </c>
      <c r="J32" s="580" t="n"/>
      <c r="K32" s="204" t="n"/>
    </row>
    <row r="33" ht="34" customHeight="1" s="486">
      <c r="A33" s="258" t="n">
        <v>8</v>
      </c>
      <c r="B33" s="238" t="inlineStr">
        <is>
          <t>Less : Loss B/F from previous year offset against current year of income  (Line 6 of S_Previous_Years_Losses)</t>
        </is>
      </c>
      <c r="C33" s="44">
        <f>DtlLossFrwd.BussLossAdjustW</f>
        <v/>
      </c>
      <c r="D33" s="44">
        <f>DtlLossFrwd.FarmLossAdjustW</f>
        <v/>
      </c>
      <c r="E33" s="44">
        <f>DtlLossFrwd.RentLossAdjustW</f>
        <v/>
      </c>
      <c r="F33" s="44">
        <f>DtlLossFrwd.InterestLossAdjustW</f>
        <v/>
      </c>
      <c r="G33" s="44">
        <f>DtlLossFrwd.CommLossAdjustW</f>
        <v/>
      </c>
      <c r="H33" s="44">
        <f>DtlLossFrwd.OtherLossAdjustW</f>
        <v/>
      </c>
      <c r="I33" s="44">
        <f>SUM(C33:H33)</f>
        <v/>
      </c>
      <c r="K33" s="204" t="n"/>
    </row>
    <row r="34" ht="17" customHeight="1" s="486">
      <c r="A34" s="512" t="n">
        <v>9</v>
      </c>
      <c r="B34" s="203" t="inlineStr">
        <is>
          <t>Adjusted Taxable Income (If 7-8 is positive, else 0)</t>
        </is>
      </c>
      <c r="C34" s="44">
        <f>IF(C32-C33&gt;0,ROUND(C32,2)-ROUND(C33,2),0)</f>
        <v/>
      </c>
      <c r="D34" s="44">
        <f>IF(D32-D33&gt;0,ROUND(D32,2)-ROUND(D33,2),0)</f>
        <v/>
      </c>
      <c r="E34" s="44">
        <f>IF(E32-E33&gt;0,ROUND(E32,2)-ROUND(E33,2),0)</f>
        <v/>
      </c>
      <c r="F34" s="44">
        <f>IF(F32-F33&gt;0,ROUND(F32,2)-ROUND(F33,2),0)</f>
        <v/>
      </c>
      <c r="G34" s="44">
        <f>IF(G32-G33&gt;0,ROUND(G32,2)-ROUND(G33,2),0)</f>
        <v/>
      </c>
      <c r="H34" s="44">
        <f>IF(H32-H33&gt;0,ROUND(H32,2)-ROUND(H33,2),0)</f>
        <v/>
      </c>
      <c r="I34" s="44">
        <f>SUM(C34:H34)</f>
        <v/>
      </c>
      <c r="J34" s="580" t="n"/>
    </row>
    <row r="35" ht="17" customHeight="1" s="486">
      <c r="A35" s="512" t="n">
        <v>10</v>
      </c>
      <c r="B35" s="203" t="inlineStr">
        <is>
          <t>Loss to be carried forward to next year for set off (If 7-8 is negative, else 0)</t>
        </is>
      </c>
      <c r="C35" s="44">
        <f>IF(C32-C33&lt;0,ROUND(C32,2)-ROUND(C33,2),0)</f>
        <v/>
      </c>
      <c r="D35" s="44">
        <f>IF(D32-D33&lt;0,ROUND(D32,2)-ROUND(D33,2),0)</f>
        <v/>
      </c>
      <c r="E35" s="44">
        <f>IF(E32-E33&lt;0,ROUND(E32,2)-ROUND(E33,2),0)</f>
        <v/>
      </c>
      <c r="F35" s="44">
        <f>IF(F32-F33&lt;0,ROUND(F32,2)-ROUND(F33,2),0)</f>
        <v/>
      </c>
      <c r="G35" s="44">
        <f>IF(G32-G33&lt;0,ROUND(G32,2)-ROUND(G33,2),0)</f>
        <v/>
      </c>
      <c r="H35" s="44">
        <f>IF(H32-H33&lt;0,ROUND(H32,2)-ROUND(H33,2),0)</f>
        <v/>
      </c>
      <c r="I35" s="44">
        <f>SUM(C35:H35)</f>
        <v/>
      </c>
    </row>
    <row r="36" ht="16" customFormat="1" customHeight="1" s="206">
      <c r="B36" s="182" t="inlineStr">
        <is>
          <t>lookup</t>
        </is>
      </c>
      <c r="C36" s="182" t="inlineStr">
        <is>
          <t>TAXBUSSW</t>
        </is>
      </c>
      <c r="D36" s="182" t="inlineStr">
        <is>
          <t>TAXFARMW</t>
        </is>
      </c>
      <c r="E36" s="182" t="inlineStr">
        <is>
          <t>TAXRENTW</t>
        </is>
      </c>
      <c r="F36" s="182" t="inlineStr">
        <is>
          <t>TAXINTW</t>
        </is>
      </c>
      <c r="G36" s="182" t="inlineStr">
        <is>
          <t>TAXCOMMW</t>
        </is>
      </c>
      <c r="H36" s="182" t="inlineStr">
        <is>
          <t>TAXOTHRW</t>
        </is>
      </c>
      <c r="I36" s="182" t="inlineStr">
        <is>
          <t>TAXCNSLW</t>
        </is>
      </c>
    </row>
    <row r="37" ht="31.5" customFormat="1" customHeight="1" s="206">
      <c r="B37" s="511" t="inlineStr">
        <is>
          <t>Part I : Other Disallowable Deductions</t>
        </is>
      </c>
      <c r="C37" s="491" t="n"/>
      <c r="D37" s="491" t="n"/>
      <c r="E37" s="491" t="n"/>
      <c r="F37" s="491" t="n"/>
      <c r="G37" s="491" t="n"/>
      <c r="H37" s="481" t="n"/>
      <c r="I37" s="182" t="n"/>
    </row>
    <row r="38" ht="21" customFormat="1" customHeight="1" s="206">
      <c r="B38" s="545" t="inlineStr">
        <is>
          <t>Name of Expense</t>
        </is>
      </c>
      <c r="C38" s="545" t="inlineStr">
        <is>
          <t>Business (Ksh)</t>
        </is>
      </c>
      <c r="D38" s="545" t="inlineStr">
        <is>
          <t>Farming (Ksh)</t>
        </is>
      </c>
      <c r="E38" s="545" t="inlineStr">
        <is>
          <t>Rental (Ksh)</t>
        </is>
      </c>
      <c r="F38" s="545" t="inlineStr">
        <is>
          <t>Interest (Ksh)</t>
        </is>
      </c>
      <c r="G38" s="545" t="inlineStr">
        <is>
          <t>Commission (Ksh)</t>
        </is>
      </c>
      <c r="H38" s="545" t="inlineStr">
        <is>
          <t>Other (Ksh)</t>
        </is>
      </c>
      <c r="I38" s="182" t="n"/>
    </row>
    <row r="39" ht="16" customFormat="1" customHeight="1" s="206">
      <c r="B39" s="286" t="n"/>
      <c r="C39" s="44" t="n"/>
      <c r="D39" s="44" t="n"/>
      <c r="E39" s="44" t="n"/>
      <c r="F39" s="44" t="n"/>
      <c r="G39" s="44" t="n"/>
      <c r="H39" s="44" t="n"/>
      <c r="I39" s="182">
        <f>IF(COUNTBLANK(B39:H39)=7,"","TAXEXPW")</f>
        <v/>
      </c>
    </row>
    <row r="40" ht="16" customFormat="1" customHeight="1" s="206">
      <c r="B40" s="286" t="n"/>
      <c r="C40" s="44" t="n"/>
      <c r="D40" s="44" t="n"/>
      <c r="E40" s="44" t="n"/>
      <c r="F40" s="44" t="n"/>
      <c r="G40" s="44" t="n"/>
      <c r="H40" s="44" t="n"/>
      <c r="I40" s="182">
        <f>IF(COUNTBLANK(B40:H40)=7,"","TAXEXPW")</f>
        <v/>
      </c>
    </row>
    <row r="41" ht="16" customFormat="1" customHeight="1" s="206">
      <c r="B41" s="286" t="n"/>
      <c r="C41" s="44" t="n"/>
      <c r="D41" s="44" t="n"/>
      <c r="E41" s="44" t="n"/>
      <c r="F41" s="44" t="n"/>
      <c r="G41" s="44" t="n"/>
      <c r="H41" s="44" t="n"/>
      <c r="I41" s="182">
        <f>IF(COUNTBLANK(B41:H41)=7,"","TAXEXPW")</f>
        <v/>
      </c>
    </row>
    <row r="42" ht="16" customFormat="1" customHeight="1" s="206">
      <c r="B42" s="286" t="n"/>
      <c r="C42" s="44" t="n"/>
      <c r="D42" s="44" t="n"/>
      <c r="E42" s="44" t="n"/>
      <c r="F42" s="44" t="n"/>
      <c r="G42" s="44" t="n"/>
      <c r="H42" s="44" t="n"/>
      <c r="I42" s="182">
        <f>IF(COUNTBLANK(B42:H42)=7,"","TAXEXPW")</f>
        <v/>
      </c>
    </row>
    <row r="43" ht="16" customFormat="1" customHeight="1" s="206">
      <c r="B43" s="286" t="n"/>
      <c r="C43" s="44" t="n"/>
      <c r="D43" s="44" t="n"/>
      <c r="E43" s="44" t="n"/>
      <c r="F43" s="44" t="n"/>
      <c r="G43" s="44" t="n"/>
      <c r="H43" s="44" t="n"/>
      <c r="I43" s="182">
        <f>IF(COUNTBLANK(B43:H43)=7,"","TAXEXPW")</f>
        <v/>
      </c>
    </row>
    <row r="44" ht="17" customFormat="1" customHeight="1" s="206">
      <c r="B44" s="181" t="inlineStr">
        <is>
          <t xml:space="preserve">Total of Other Expenses </t>
        </is>
      </c>
      <c r="C44" s="139">
        <f>SUM(C39:OFFSET(TaxComp.OEBussW,-1,0))</f>
        <v/>
      </c>
      <c r="D44" s="139">
        <f>SUM(D39:OFFSET(TaxComp.OEFarmW,-1,0))</f>
        <v/>
      </c>
      <c r="E44" s="139">
        <f>SUM(E39:OFFSET(TaxComp.OERentW,-1,0))</f>
        <v/>
      </c>
      <c r="F44" s="139">
        <f>SUM(F39:OFFSET(TaxComp.OEIntW,-1,0))</f>
        <v/>
      </c>
      <c r="G44" s="139">
        <f>SUM(G39:OFFSET(TaxComp.OECommW,-1,0))</f>
        <v/>
      </c>
      <c r="H44" s="139">
        <f>SUM(H39:OFFSET(TaxComp.OEOthW,-1,0))</f>
        <v/>
      </c>
      <c r="I44" s="182" t="n"/>
    </row>
    <row r="45" ht="19.5" customFormat="1" customHeight="1" s="206">
      <c r="B45" s="182" t="n"/>
      <c r="C45" s="182" t="n"/>
      <c r="D45" s="182" t="n"/>
      <c r="E45" s="182" t="n"/>
      <c r="F45" s="182" t="n"/>
      <c r="G45" s="182" t="n"/>
      <c r="H45" s="182" t="n"/>
      <c r="I45" s="182" t="n"/>
    </row>
    <row r="46" ht="19.5" customFormat="1" customHeight="1" s="206">
      <c r="B46" s="182" t="n"/>
      <c r="C46" s="182" t="n"/>
      <c r="D46" s="182" t="n"/>
      <c r="E46" s="182" t="n"/>
      <c r="F46" s="182" t="n"/>
      <c r="G46" s="182" t="n"/>
      <c r="H46" s="182" t="n"/>
      <c r="I46" s="182" t="n"/>
    </row>
    <row r="47" ht="31.5" customFormat="1" customHeight="1" s="206">
      <c r="B47" s="511" t="inlineStr">
        <is>
          <t>Part II : Other Allowable Deductions</t>
        </is>
      </c>
      <c r="C47" s="491" t="n"/>
      <c r="D47" s="491" t="n"/>
      <c r="E47" s="491" t="n"/>
      <c r="F47" s="491" t="n"/>
      <c r="G47" s="491" t="n"/>
      <c r="H47" s="481" t="n"/>
      <c r="I47" s="182" t="n"/>
    </row>
    <row r="48" ht="21" customFormat="1" customHeight="1" s="206">
      <c r="B48" s="545" t="inlineStr">
        <is>
          <t>Name of Deductions</t>
        </is>
      </c>
      <c r="C48" s="545" t="inlineStr">
        <is>
          <t>Business (Ksh)</t>
        </is>
      </c>
      <c r="D48" s="545" t="inlineStr">
        <is>
          <t>Farming (Ksh)</t>
        </is>
      </c>
      <c r="E48" s="545" t="inlineStr">
        <is>
          <t>Rental (Ksh)</t>
        </is>
      </c>
      <c r="F48" s="545" t="inlineStr">
        <is>
          <t>Interest (Ksh)</t>
        </is>
      </c>
      <c r="G48" s="545" t="inlineStr">
        <is>
          <t>Commission (Ksh)</t>
        </is>
      </c>
      <c r="H48" s="545" t="inlineStr">
        <is>
          <t>Other (Ksh)</t>
        </is>
      </c>
      <c r="I48" s="182" t="n"/>
    </row>
    <row r="49" ht="16" customFormat="1" customHeight="1" s="206">
      <c r="B49" s="286" t="n"/>
      <c r="C49" s="44" t="n"/>
      <c r="D49" s="44" t="n"/>
      <c r="E49" s="44" t="n"/>
      <c r="F49" s="44" t="n"/>
      <c r="G49" s="44" t="n"/>
      <c r="H49" s="44" t="n"/>
      <c r="I49" s="182">
        <f>IF(COUNTBLANK(B49:H49)=7,"","TAXDEDW")</f>
        <v/>
      </c>
    </row>
    <row r="50" ht="16" customFormat="1" customHeight="1" s="206">
      <c r="B50" s="286" t="n"/>
      <c r="C50" s="44" t="n"/>
      <c r="D50" s="44" t="n"/>
      <c r="E50" s="44" t="n"/>
      <c r="F50" s="44" t="n"/>
      <c r="G50" s="44" t="n"/>
      <c r="H50" s="44" t="n"/>
      <c r="I50" s="182">
        <f>IF(COUNTBLANK(B50:H50)=7,"","TAXDEDW")</f>
        <v/>
      </c>
    </row>
    <row r="51" ht="16" customFormat="1" customHeight="1" s="206">
      <c r="B51" s="286" t="n"/>
      <c r="C51" s="44" t="n"/>
      <c r="D51" s="44" t="n"/>
      <c r="E51" s="44" t="n"/>
      <c r="F51" s="44" t="n"/>
      <c r="G51" s="44" t="n"/>
      <c r="H51" s="44" t="n"/>
      <c r="I51" s="182">
        <f>IF(COUNTBLANK(B51:H51)=7,"","TAXDEDW")</f>
        <v/>
      </c>
    </row>
    <row r="52" ht="16" customFormat="1" customHeight="1" s="206">
      <c r="B52" s="286" t="n"/>
      <c r="C52" s="44" t="n"/>
      <c r="D52" s="44" t="n"/>
      <c r="E52" s="44" t="n"/>
      <c r="F52" s="44" t="n"/>
      <c r="G52" s="44" t="n"/>
      <c r="H52" s="44" t="n"/>
      <c r="I52" s="182">
        <f>IF(COUNTBLANK(B52:H52)=7,"","TAXDEDW")</f>
        <v/>
      </c>
    </row>
    <row r="53" ht="16" customFormat="1" customHeight="1" s="206">
      <c r="B53" s="286" t="n"/>
      <c r="C53" s="44" t="n"/>
      <c r="D53" s="44" t="n"/>
      <c r="E53" s="44" t="n"/>
      <c r="F53" s="44" t="n"/>
      <c r="G53" s="44" t="n"/>
      <c r="H53" s="44" t="n"/>
      <c r="I53" s="182">
        <f>IF(COUNTBLANK(B53:H53)=7,"","TAXDEDW")</f>
        <v/>
      </c>
    </row>
    <row r="54" ht="17" customFormat="1" customHeight="1" s="206">
      <c r="B54" s="181" t="inlineStr">
        <is>
          <t xml:space="preserve">Total of Other Deductions </t>
        </is>
      </c>
      <c r="C54" s="139">
        <f>SUM(C49:OFFSET(TaxComp.ODBussW,-1,0))</f>
        <v/>
      </c>
      <c r="D54" s="139">
        <f>SUM(D49:OFFSET(TaxComp.ODFarmW,-1,0))</f>
        <v/>
      </c>
      <c r="E54" s="139">
        <f>SUM(E49:OFFSET(TaxComp.ODRentW,-1,0))</f>
        <v/>
      </c>
      <c r="F54" s="139">
        <f>SUM(F49:OFFSET(TaxComp.ODIntW,-1,0))</f>
        <v/>
      </c>
      <c r="G54" s="139">
        <f>SUM(G49:OFFSET(TaxComp.ODCommW,-1,0))</f>
        <v/>
      </c>
      <c r="H54" s="139">
        <f>SUM(H49:OFFSET(TaxComp.ODOthW,-1,0))</f>
        <v/>
      </c>
      <c r="I54" s="182" t="n"/>
    </row>
    <row r="55" ht="37.5" customHeight="1" s="486">
      <c r="A55" s="206" t="n"/>
      <c r="B55" s="206" t="n"/>
      <c r="C55" s="206" t="n"/>
      <c r="D55" s="206" t="n"/>
      <c r="E55" s="206" t="n"/>
      <c r="F55" s="580" t="n"/>
    </row>
    <row r="56" ht="37.5" customHeight="1" s="486">
      <c r="A56" s="206" t="n"/>
      <c r="B56" s="206" t="n"/>
      <c r="C56" s="206" t="n"/>
      <c r="D56" s="206" t="n"/>
      <c r="E56" s="206" t="n"/>
    </row>
    <row r="57" hidden="1" s="486"/>
    <row r="58" hidden="1" s="486"/>
  </sheetData>
  <sheetProtection selectLockedCells="0" selectUnlockedCells="0" algorithmName="SHA-512" sheet="1" objects="1" insertRows="1" insertHyperlinks="1" autoFilter="1" scenarios="1" formatColumns="1" deleteColumns="1" insertColumns="1" pivotTables="1" deleteRows="1" formatCells="1" saltValue="+QLPbnv01TngVharaLd4EQ==" formatRows="1" sort="1" spinCount="100000" hashValue="VHqqL5qkh8WluWtYgVXo0g7/+J23HZA1NJPUZ6jxRCHC836gqHJ0t+LZNUtDpkM1qSKzX99kRSuFjUF56XUygw=="/>
  <mergeCells count="24">
    <mergeCell ref="J13:J14"/>
    <mergeCell ref="J9:J10"/>
    <mergeCell ref="J1:J2"/>
    <mergeCell ref="J34:J35"/>
    <mergeCell ref="J15:J16"/>
    <mergeCell ref="J11:J12"/>
    <mergeCell ref="B47:H47"/>
    <mergeCell ref="A22:I22"/>
    <mergeCell ref="J7:J8"/>
    <mergeCell ref="A20:I20"/>
    <mergeCell ref="J32:J33"/>
    <mergeCell ref="A28:I28"/>
    <mergeCell ref="J25:J26"/>
    <mergeCell ref="J3:J4"/>
    <mergeCell ref="J19:J21"/>
    <mergeCell ref="A30:I30"/>
    <mergeCell ref="J5:J6"/>
    <mergeCell ref="J17:J18"/>
    <mergeCell ref="F55:J56"/>
    <mergeCell ref="A1:I1"/>
    <mergeCell ref="A6:I6"/>
    <mergeCell ref="J23:J24"/>
    <mergeCell ref="J27:J29"/>
    <mergeCell ref="B37:H37"/>
  </mergeCells>
  <dataValidations xWindow="613" yWindow="498" count="5">
    <dataValidation sqref="C4:H4 C8:H10 C12:H13 C15:H15 C17:H20 C25:H26 C39:H43 C49:H53"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B39:B43 B49:B53"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operator="lessThanOrEqual">
      <formula1>50</formula1>
    </dataValidation>
    <dataValidation sqref="D3:I3 I4:I5 I7:I21 I23:I29 I31:I35" showDropDown="0" showInputMessage="0" showErrorMessage="1" allowBlank="0" type="decimal">
      <formula1>0</formula1>
      <formula2>1000000000000000</formula2>
    </dataValidation>
    <dataValidation sqref="C3" showDropDown="0" showInputMessage="0" showErrorMessage="1" allowBlank="0"/>
    <dataValidation sqref="C31:H31" showDropDown="0" showInputMessage="0" showErrorMessage="0" allowBlank="0" errorTitle="Data Error:" error="Please enter positive numeric value of length less than or equal to 15 digit." promptTitle="Numeric:" prompt="Enter numeric value of length less than or equal to 15 digit."/>
  </dataValidations>
  <pageMargins left="0.7" right="0.7" top="0.75" bottom="0.75" header="0.3" footer="0.3"/>
  <pageSetup orientation="portrait" horizontalDpi="90" verticalDpi="90"/>
  <drawing r:id="rId1"/>
</worksheet>
</file>

<file path=xl/worksheets/sheet33.xml><?xml version="1.0" encoding="utf-8"?>
<worksheet xmlns:r="http://schemas.openxmlformats.org/officeDocument/2006/relationships" xmlns="http://schemas.openxmlformats.org/spreadsheetml/2006/main">
  <sheetPr codeName="Sheet20">
    <outlinePr summaryBelow="1" summaryRight="1"/>
    <pageSetUpPr/>
  </sheetPr>
  <dimension ref="A1:J37"/>
  <sheetViews>
    <sheetView topLeftCell="A26" zoomScale="98" zoomScaleNormal="98" workbookViewId="0">
      <selection activeCell="C5" sqref="C5"/>
    </sheetView>
  </sheetViews>
  <sheetFormatPr baseColWidth="10" defaultColWidth="0" defaultRowHeight="16"/>
  <cols>
    <col width="9.1640625" customWidth="1" style="415" min="1" max="1"/>
    <col width="80.6640625" customWidth="1" style="416" min="2" max="2"/>
    <col width="27.6640625" customWidth="1" style="416" min="3" max="5"/>
    <col hidden="1" width="27.6640625" customWidth="1" style="583" min="6" max="6"/>
    <col hidden="1" width="13" customWidth="1" style="583" min="7" max="253"/>
    <col hidden="1" width="8.83203125" customWidth="1" style="583" min="254" max="254"/>
    <col hidden="1" width="4.1640625" customWidth="1" style="583" min="255" max="255"/>
    <col hidden="1" width="9.6640625" customWidth="1" style="583" min="256" max="256"/>
    <col hidden="1" width="9.6640625" customWidth="1" style="583" min="257" max="16384"/>
  </cols>
  <sheetData>
    <row r="1" ht="31.5" customHeight="1" s="486">
      <c r="A1" s="579" t="inlineStr">
        <is>
          <t>Section T : Tax Computation</t>
        </is>
      </c>
      <c r="B1" s="491" t="n"/>
      <c r="C1" s="491" t="n"/>
      <c r="D1" s="491" t="n"/>
      <c r="E1" s="437" t="n"/>
      <c r="F1" s="230" t="n"/>
      <c r="G1" s="230" t="n"/>
      <c r="H1" s="230" t="n"/>
      <c r="I1" s="230" t="n"/>
      <c r="J1" s="582" t="n"/>
    </row>
    <row r="2" ht="21" customHeight="1" s="486">
      <c r="A2" s="23" t="inlineStr">
        <is>
          <t>Sr. No.</t>
        </is>
      </c>
      <c r="B2" s="545" t="inlineStr">
        <is>
          <t>Description</t>
        </is>
      </c>
      <c r="C2" s="545" t="inlineStr">
        <is>
          <t>Self (Ksh)</t>
        </is>
      </c>
      <c r="D2" s="545" t="inlineStr">
        <is>
          <t>Wife (Ksh)</t>
        </is>
      </c>
      <c r="E2" s="438" t="n"/>
      <c r="F2" s="545" t="inlineStr">
        <is>
          <t>Interest</t>
        </is>
      </c>
      <c r="G2" s="545" t="inlineStr">
        <is>
          <t>Commission</t>
        </is>
      </c>
      <c r="H2" s="545" t="inlineStr">
        <is>
          <t>Other</t>
        </is>
      </c>
      <c r="I2" s="545" t="inlineStr">
        <is>
          <t>Consolidated</t>
        </is>
      </c>
    </row>
    <row r="3" ht="17" customHeight="1" s="486">
      <c r="A3" s="330" t="n">
        <v>11</v>
      </c>
      <c r="B3" s="325" t="inlineStr">
        <is>
          <t>Total Deduction (11.1+ Higher value of 11.2 or 11.3)</t>
        </is>
      </c>
      <c r="C3" s="331">
        <f>IF(C6&gt;C7,C5+C6,C5+C7)</f>
        <v/>
      </c>
      <c r="D3" s="331">
        <f>IF(D6&gt;D7,D5+D6,D5+D7)</f>
        <v/>
      </c>
      <c r="E3" s="438">
        <f>IF(MortgageJanMar2020Self&gt;HospJanMar2020Self,EmpIncome.ListSPENSJANMAR+MortgageJanMar2020Self,EmpIncome.ListSPENSJANMAR+HospJanMar2020Self)</f>
        <v/>
      </c>
      <c r="F3" s="232" t="n"/>
    </row>
    <row r="4">
      <c r="A4" s="328" t="n"/>
      <c r="B4" s="334" t="n"/>
      <c r="C4" s="334" t="n"/>
      <c r="D4" s="334" t="n"/>
      <c r="E4" s="438">
        <f>IF(MortgageJanMar2020Wife&gt;HospJanMar2020Wife,EmpIncome.ListWPENJANMAR+MortgageJanMar2020Wife,EmpIncome.ListWPENJANMAR+HospJanMar2020Wife)</f>
        <v/>
      </c>
      <c r="F4" s="232" t="n"/>
    </row>
    <row r="5" ht="17" customHeight="1" s="486">
      <c r="A5" s="332" t="n">
        <v>11.1</v>
      </c>
      <c r="B5" s="329" t="inlineStr">
        <is>
          <t>Defined / Pension Contribution</t>
        </is>
      </c>
      <c r="C5" s="186" t="n">
        <v>12960</v>
      </c>
      <c r="D5" s="333" t="n"/>
      <c r="E5" s="438">
        <f>IF(RetInf.LastYear=2020,
IF(MortgageIntDtls.ListSTOJANMAR&lt;=75000,MortgageIntDtls.ListSTOJANMAR,75000),
IF(MortgageIntDtls.ListSTOJANMAR&lt;=150000,MortgageIntDtls.ListSTOJANMAR,150000))</f>
        <v/>
      </c>
      <c r="F5" s="123" t="n"/>
    </row>
    <row r="6" ht="34" customHeight="1" s="486">
      <c r="A6" s="258" t="n">
        <v>11.2</v>
      </c>
      <c r="B6" s="196" t="inlineStr">
        <is>
          <t>Mortgage Interest  (Total of Amount of Interest Paid from J_Computation_of_Mortgage  but subject to Maximum 150,000 Ksh)</t>
        </is>
      </c>
      <c r="C6" s="44">
        <f>IF(SecA.RtnYear&lt;=2016,IF(MortgageIntDtls.ListSTO&lt;=150000,MortgageIntDtls.ListSTO,150000),IF(MortgageIntDtls.ListSTO&lt;=300000,MortgageIntDtls.ListSTO,300000))</f>
        <v/>
      </c>
      <c r="D6" s="44">
        <f>IF(SecA.RtnYear&lt;=2016,IF(MortgageIntDtls.ListWTO&lt;=150000,MortgageIntDtls.ListWTO,150000),IF(MortgageIntDtls.ListWTO&lt;=300000,MortgageIntDtls.ListWTO,300000))</f>
        <v/>
      </c>
      <c r="E6" s="438">
        <f>IF(MortgageIntDtls.ListWTOJANMAR&lt;=75000,MortgageIntDtls.ListWTOJANMAR,75000)</f>
        <v/>
      </c>
      <c r="F6" s="584" t="inlineStr">
        <is>
          <t>Check required that either of the two deductions will be available. Check to be given here or sections or on validation?</t>
        </is>
      </c>
    </row>
    <row r="7" ht="34" customHeight="1" s="486">
      <c r="A7" s="258" t="n">
        <v>11.3</v>
      </c>
      <c r="B7" s="238" t="inlineStr">
        <is>
          <t>Deposit in Home Ownership Saving Plan (Total of "Total Deposit for the Year" from K_Home_Ownership_Saving_Plan but subject to Maximum 96,000 Ksh)</t>
        </is>
      </c>
      <c r="C7" s="44" t="n">
        <v>0</v>
      </c>
      <c r="D7" s="44" t="n">
        <v>0</v>
      </c>
      <c r="E7" s="438">
        <f>IF(HomeOwnershipSavingPlan.ListSTOJANMAR&lt;=24000,HomeOwnershipSavingPlan.ListSTOJANMAR,24000)</f>
        <v/>
      </c>
      <c r="F7" s="585" t="n"/>
    </row>
    <row r="8">
      <c r="A8" s="512" t="n"/>
      <c r="B8" s="491" t="n"/>
      <c r="C8" s="491" t="n"/>
      <c r="D8" s="481" t="n"/>
      <c r="E8" s="438">
        <f>IF(HomeOwnershipSavingPlan.ListWTOJANMAR&lt;=24000,HomeOwnershipSavingPlan.ListWTOJANMAR,24000)</f>
        <v/>
      </c>
      <c r="F8" s="233" t="n"/>
    </row>
    <row r="9" ht="17" customHeight="1" s="486">
      <c r="A9" s="330" t="n">
        <v>12</v>
      </c>
      <c r="B9" s="325" t="inlineStr">
        <is>
          <t>Total of Tax Payable Less Reliefs and Exemptions (12.5 - 12.6 - 12.7)</t>
        </is>
      </c>
      <c r="C9" s="331">
        <f>IF((TaxComp.TaxPayableS-TaxComp.PersonalReliefS-TaxComp.InsReliefDtlsListSTO)&lt;0,0,CEILING(ROUND(TaxComp.TaxPayableS,2)-ROUND(TaxComp.PersonalReliefS,2)-ROUND(TaxComp.InsReliefDtlsListSTO,2),1))</f>
        <v/>
      </c>
      <c r="D9" s="331">
        <f>IF((TaxComp.TaxPayableW-TaxComp.PersonalReliefW-TaxComp.InsReliefDtlsListWTO)&lt;0,0,CEILING(ROUND(TaxComp.TaxPayableW,2)-ROUND(TaxComp.PersonalReliefW,2)-ROUND(TaxComp.InsReliefDtlsListWTO,2),1))</f>
        <v/>
      </c>
      <c r="E9" s="438" t="n"/>
      <c r="F9" s="234" t="n"/>
    </row>
    <row r="10">
      <c r="A10" s="328" t="n"/>
      <c r="B10" s="334" t="n"/>
      <c r="C10" s="334" t="n"/>
      <c r="D10" s="334" t="n"/>
      <c r="E10" s="438" t="n"/>
      <c r="F10" s="234" t="n"/>
    </row>
    <row r="11" ht="34" customHeight="1" s="486">
      <c r="A11" s="332" t="n">
        <v>12.1</v>
      </c>
      <c r="B11" s="329" t="inlineStr">
        <is>
          <t>Employment Income ("Total Taxable Employment Income" from F_Employement_Income)</t>
        </is>
      </c>
      <c r="C11" s="333">
        <f>EmpIncome.ListSTO+DTAEMPIncomeS</f>
        <v/>
      </c>
      <c r="D11" s="333">
        <f>EmpIncome.ListWTO+DTAEMPIncomeW</f>
        <v/>
      </c>
      <c r="E11" s="438">
        <f>TaxComp.EmpIncomeListSTO-DedDtl.TotalDeductionS-TaxComp.ExemptedAmtS</f>
        <v/>
      </c>
      <c r="F11" s="233" t="n"/>
    </row>
    <row r="12" ht="34" customHeight="1" s="486">
      <c r="A12" s="258" t="n">
        <v>12.2</v>
      </c>
      <c r="B12" s="238" t="inlineStr">
        <is>
          <t>Taxable Income from Estate(s)/Trust(s)/Settlement (Total of "Amount of Share of Income  (Ksh)" from H_Estate_Trust_Income)</t>
        </is>
      </c>
      <c r="C12" s="44">
        <f>EstateTrust.ListTOS</f>
        <v/>
      </c>
      <c r="D12" s="44">
        <f>EstateTrust.ListTOW</f>
        <v/>
      </c>
      <c r="E12" s="438">
        <f>TaxComp.EmpIncomeListWTO-DedDtl.TotalDeductionW-TaxComp.ExemptedAmtW</f>
        <v/>
      </c>
      <c r="F12" s="233" t="n"/>
    </row>
    <row r="13" ht="17" customHeight="1" s="486">
      <c r="A13" s="258" t="n">
        <v>12.3</v>
      </c>
      <c r="B13" s="238" t="inlineStr">
        <is>
          <t>Allowable Tax Exemption in case of Person with Disablility</t>
        </is>
      </c>
      <c r="C13" s="44">
        <f>IF(exempt.MonthCodeS*150000&gt;1800000,1800000,exempt.MonthCodeS*150000)</f>
        <v/>
      </c>
      <c r="D13" s="44">
        <f>IF(exempt.MonthCodeW*150000&gt;1800000,1800000,exempt.MonthCodeW*150000)</f>
        <v/>
      </c>
      <c r="E13" s="438">
        <f>IF(RetInf.LastYear=2020,
IF(exempt.MonthCodeSJanMar*150000&gt;1800000,1800000,exempt.MonthCodeSJanMar*150000),
IF(exempt.MonthCodeSJanJun*150000&gt;1800000,1800000,exempt.MonthCodeSJanJun*150000))</f>
        <v/>
      </c>
      <c r="F13" s="123" t="n"/>
    </row>
    <row r="14" ht="17" customHeight="1" s="486">
      <c r="A14" s="258" t="n">
        <v>12.4</v>
      </c>
      <c r="B14" s="238" t="inlineStr">
        <is>
          <t>Net Taxable Income (12.1+ 12.2+Line Number 9 (Consolidated) - 11-12.3)</t>
        </is>
      </c>
      <c r="C14" s="44">
        <f>IF((ROUND(SUM(TaxComp.EmpIncomeListSTO+TaxComp.TaxbleIncomeEstateS+TaxComp.ChargeableIncomeS),2)-ROUND(DedDtl.TotalDeductionS,2)-ROUND(TaxComp.ExemptedAmtS,2))&lt;0,0,ROUND(SUM(TaxComp.EmpIncomeListSTO+TaxComp.TaxbleIncomeEstateS+TaxComp.ChargeableIncomeS),2)-ROUND(DedDtl.TotalDeductionS,2)-ROUND(TaxComp.ExemptedAmtS,2))</f>
        <v/>
      </c>
      <c r="D14" s="44">
        <f>IF(RetInf.DeclareWifeIncome="Yes",IF((ROUND(SUM(TaxComp.EmpIncomeListWTO+TaxComp.TaxbleIncomeEstateW+TaxComp.ChargeableIncomeW),2)-ROUND(DedDtl.TotalDeductionW,2)-ROUND(TaxComp.ExemptedAmtW,2))&lt;0,0,ROUND(SUM(TaxComp.EmpIncomeListWTO+TaxComp.TaxbleIncomeEstateW+TaxComp.ChargeableIncomeW),2)-ROUND(DedDtl.TotalDeductionW,2)-ROUND(TaxComp.ExemptedAmtW,2)),"0.00")</f>
        <v/>
      </c>
      <c r="E14" s="438">
        <f>IF(RetInf.LastYear=2020,
IF(exempt.MonthCodeSAprDec*150000&gt;1800000,1800000,exempt.MonthCodeSAprDec*150000),
IF(exempt.MonthCodeSJulDec*150000&gt;1800000,1800000,exempt.MonthCodeSJulDec*150000))</f>
        <v/>
      </c>
      <c r="F14" s="233" t="n"/>
    </row>
    <row r="15" ht="16.5" customHeight="1" s="486">
      <c r="A15" s="258" t="n">
        <v>12.5</v>
      </c>
      <c r="B15" s="238" t="inlineStr">
        <is>
          <t>Tax on Taxable Income (12.4 *applicable rates)</t>
        </is>
      </c>
      <c r="C15" s="44">
        <f>getTotalTaxPayble(TaxComp.NetTaxableIncomeS,SecA.RtnYear)</f>
        <v/>
      </c>
      <c r="D15" s="44">
        <f>getTotalTaxPayble(TaxComp.NetTaxableIncomeW,SecA.RtnYear)</f>
        <v/>
      </c>
      <c r="E15" s="438">
        <f>IF(exempt.MonthCodeWJanMar*150000&gt;1800000,1800000,exempt.MonthCodeWJanMar*150000)</f>
        <v/>
      </c>
      <c r="F15" s="123" t="inlineStr">
        <is>
          <t>Tax Slabs:
0 to 1,21,968 (10%)
1,21,969 to 2,36,880 (15%)
2,36,881 to 3,51,792 (20%)
3,51,793 to 4,66,704 (25%)
Over 4,66,704 (30%)</t>
        </is>
      </c>
    </row>
    <row r="16" ht="16.5" customHeight="1" s="486">
      <c r="A16" s="258" t="inlineStr">
        <is>
          <t>12.5a</t>
        </is>
      </c>
      <c r="B16" s="238" t="inlineStr">
        <is>
          <t>Tax on Taxable Employment Income January -June Period</t>
        </is>
      </c>
      <c r="C16" s="44">
        <f>getTotalTaxPayble2020JanMar(TaxComp.NetTaxableIncomeS,SecA.RtnYear,EmpIncome.ListSTOJANMAR-(DedDtl.TotalDeductionSJanMar+TaxComp.ExemptedAmtSJanMar))</f>
        <v/>
      </c>
      <c r="D16" s="44">
        <f>getTotalTaxPayble2020JanMar(TaxComp.NetTaxableIncomeW,SecA.RtnYear,EmpIncome.ListWTOJANMAR-(DedDtl.TotalDeductionWJanMar+TaxComp.ExemptedAmtWJanMar))</f>
        <v/>
      </c>
      <c r="E16" s="438">
        <f>IF(exempt.MonthCodeWAprDec*150000&gt;1800000,1800000,exempt.MonthCodeWAprDec*150000)</f>
        <v/>
      </c>
      <c r="F16" s="123" t="n"/>
    </row>
    <row r="17" ht="16.5" customHeight="1" s="486">
      <c r="A17" s="258" t="inlineStr">
        <is>
          <t>12.5b</t>
        </is>
      </c>
      <c r="B17" s="238" t="inlineStr">
        <is>
          <t>Tax on Taxable Employment Income July -December Period</t>
        </is>
      </c>
      <c r="C17" s="44">
        <f>getTotalTaxPayble2020AprDec(TaxComp.NetTaxableIncomeS,SecA.RtnYear,  IF(TaxComp.EmpIncomeListSTO=0,0, TaxComp.NetTaxableEmpIncomeSJanDec-IF(EmpIncome.ListSTOJANMAR-(DedDtl.TotalDeductionSJanMar+TaxComp.ExemptedAmtSJanMar)&lt;0,0,EmpIncome.ListSTOJANMAR-(DedDtl.TotalDeductionSJanMar+TaxComp.ExemptedAmtSJanMar))))</f>
        <v/>
      </c>
      <c r="D17" s="427">
        <f>getTotalTaxPayble2020AprDec(TaxComp.NetTaxableIncomeW,SecA.RtnYear,  IF(TaxComp.EmpIncomeListWTO=0,0, TaxComp.NetTaxableEmpIncomeWJanDec-IF(EmpIncome.ListWTOJANMAR-(DedDtl.TotalDeductionWJanMar+TaxComp.ExemptedAmtWJanMar)&lt;0,0,EmpIncome.ListWTOJANMAR-(DedDtl.TotalDeductionWJanMar+TaxComp.ExemptedAmtWJanMar))))</f>
        <v/>
      </c>
      <c r="E17" s="438" t="n"/>
      <c r="F17" s="123" t="n"/>
    </row>
    <row r="18" ht="16.5" customHeight="1" s="486">
      <c r="A18" s="258" t="n">
        <v>12.6</v>
      </c>
      <c r="B18" s="238" t="inlineStr">
        <is>
          <t>Personal Relief</t>
        </is>
      </c>
      <c r="C18" s="45" t="n">
        <v>28800</v>
      </c>
      <c r="D18" s="44" t="n"/>
      <c r="E18" s="438" t="n"/>
      <c r="F18" s="123" t="inlineStr">
        <is>
          <t xml:space="preserve">Keep it 13,944 but make it configurable </t>
        </is>
      </c>
    </row>
    <row r="19" ht="34" customHeight="1" s="486">
      <c r="A19" s="258" t="n">
        <v>12.7</v>
      </c>
      <c r="B19" s="325" t="inlineStr">
        <is>
          <t>Insurance Relief (Total of "Amount of Insurance Relief " from L_Computation_of_Insu_Relief but subject to Maximum 60,000 Ksh)</t>
        </is>
      </c>
      <c r="C19" s="326">
        <f>IF(InsReliefDtls.ListSTO&lt;=60000,InsReliefDtls.ListSTO,60000)</f>
        <v/>
      </c>
      <c r="D19" s="326">
        <f>IF(InsReliefDtls.ListWTO&lt;=60000,InsReliefDtls.ListWTO,60000)</f>
        <v/>
      </c>
      <c r="E19" s="438" t="n"/>
      <c r="F19" s="123" t="n"/>
    </row>
    <row r="20">
      <c r="A20" s="512" t="n"/>
      <c r="B20" s="491" t="n"/>
      <c r="C20" s="491" t="n"/>
      <c r="D20" s="481" t="n"/>
      <c r="E20" s="438" t="n"/>
      <c r="F20" s="123" t="n"/>
    </row>
    <row r="21" ht="17" customHeight="1" s="486">
      <c r="A21" s="512" t="n">
        <v>13</v>
      </c>
      <c r="B21" s="203" t="inlineStr">
        <is>
          <t>Tax Credits (13.1+13.2+13.3+13.4+13.5+13.6+13.7+13.8)</t>
        </is>
      </c>
      <c r="C21" s="139">
        <f>SUM(C22:C29)</f>
        <v/>
      </c>
      <c r="D21" s="139">
        <f>SUM(D22:D29)</f>
        <v/>
      </c>
      <c r="E21" s="438" t="n"/>
      <c r="F21" s="235" t="n"/>
    </row>
    <row r="22" ht="34" customHeight="1" s="486">
      <c r="A22" s="258" t="n">
        <v>13.1</v>
      </c>
      <c r="B22" s="203" t="inlineStr">
        <is>
          <t>PAYE Deducted from Salary (Total of "Amount of Tax Deducted (PAYE)" from M_Details_of_PAYE_Deducted)</t>
        </is>
      </c>
      <c r="C22" s="44">
        <f>PayeDed.ListSTO</f>
        <v/>
      </c>
      <c r="D22" s="44">
        <f>PayeDed.ListWTO</f>
        <v/>
      </c>
      <c r="E22" s="438" t="n"/>
      <c r="F22" s="123" t="n"/>
    </row>
    <row r="23" ht="34" customHeight="1" s="486">
      <c r="A23" s="258" t="n">
        <v>13.2</v>
      </c>
      <c r="B23" s="238" t="inlineStr">
        <is>
          <t>Allowable Tax in case of Estate(s)/Trust(s)/Settlement ((Total of "Amount of Share of Income from H_Estate_Trust_Income) * 30%)</t>
        </is>
      </c>
      <c r="C23" s="44">
        <f>EstateTrust.ListTOS*30/100</f>
        <v/>
      </c>
      <c r="D23" s="44" t="n">
        <v>0</v>
      </c>
      <c r="E23" s="447" t="n"/>
      <c r="F23" s="197" t="n"/>
      <c r="G23" s="445" t="n"/>
      <c r="H23" s="445" t="n"/>
    </row>
    <row r="24" ht="34" customHeight="1" s="486">
      <c r="A24" s="258" t="n">
        <v>13.3</v>
      </c>
      <c r="B24" s="238" t="inlineStr">
        <is>
          <t>Total Installment Tax Paid (Total of "Amount of Installment Tax Paid" from N_Installment_Tax_Credits)</t>
        </is>
      </c>
      <c r="C24" s="44">
        <f>InstallmentTax.ListSTO</f>
        <v/>
      </c>
      <c r="D24" s="44" t="n">
        <v>0</v>
      </c>
      <c r="E24" s="447" t="n"/>
      <c r="F24" s="197" t="n"/>
      <c r="G24" s="445" t="n"/>
      <c r="H24" s="445" t="n"/>
    </row>
    <row r="25" ht="17" customHeight="1" s="486">
      <c r="A25" s="258" t="n">
        <v>13.4</v>
      </c>
      <c r="B25" s="196" t="inlineStr">
        <is>
          <t>Withholding Tax (Total of "Withholding Tax Amount" from O_WHT_Credits)</t>
        </is>
      </c>
      <c r="C25" s="264" t="n">
        <v>0</v>
      </c>
      <c r="D25" s="455" t="n">
        <v>0</v>
      </c>
      <c r="E25" s="447" t="n"/>
      <c r="F25" s="197" t="n"/>
      <c r="G25" s="445" t="n"/>
      <c r="H25" s="445" t="n"/>
    </row>
    <row r="26" ht="34" customHeight="1" s="486">
      <c r="A26" s="258" t="n">
        <v>13.5</v>
      </c>
      <c r="B26" s="238" t="inlineStr">
        <is>
          <t>Credits u/s 12A - Advance Tax on Commercial Vehicle (Total of "Amount of Advance Tax Paid" from P_Advance_Tax_Credits)</t>
        </is>
      </c>
      <c r="C26" s="264" t="n">
        <v>0</v>
      </c>
      <c r="D26" s="455" t="n">
        <v>0</v>
      </c>
      <c r="E26" s="447" t="n"/>
      <c r="F26" s="197" t="n"/>
      <c r="G26" s="445" t="n"/>
      <c r="H26" s="445" t="n"/>
    </row>
    <row r="27" ht="34" customHeight="1" s="486">
      <c r="A27" s="258" t="n">
        <v>13.6</v>
      </c>
      <c r="B27" s="238" t="inlineStr">
        <is>
          <t>Income Tax Paid in Advance (Total of "Amount of Income Tax Paid" from Q_IT_Payment_Credits)</t>
        </is>
      </c>
      <c r="C27" s="44">
        <f>DtlIncomePaid.IncomePaidAdvncSelfAssmntListSTO</f>
        <v/>
      </c>
      <c r="D27" s="44" t="n">
        <v>0</v>
      </c>
      <c r="E27" s="447" t="n"/>
      <c r="F27" s="197" t="n"/>
      <c r="G27" s="445" t="n"/>
      <c r="H27" s="445" t="n"/>
    </row>
    <row r="28" ht="17" customHeight="1" s="486">
      <c r="A28" s="258" t="n">
        <v>13.7</v>
      </c>
      <c r="B28" s="238" t="inlineStr">
        <is>
          <t>Credits u/s 41 (Total of "Amount of Tax Relief" from R_DTAA_Credits)</t>
        </is>
      </c>
      <c r="C28" s="44">
        <f>DTAACredits.AmountTotalS</f>
        <v/>
      </c>
      <c r="D28" s="44">
        <f>DTAACredits.AmountTotalW</f>
        <v/>
      </c>
      <c r="E28" s="438" t="n"/>
      <c r="F28" s="123" t="n"/>
    </row>
    <row r="29" ht="17" customHeight="1" s="486">
      <c r="A29" s="401" t="n">
        <v>13.8</v>
      </c>
      <c r="B29" s="238" t="inlineStr">
        <is>
          <t xml:space="preserve"> Withholding Tax (Total of "Withholding Tax Amount Of Monthly Rental Income")</t>
        </is>
      </c>
      <c r="C29" s="264" t="n">
        <v>0</v>
      </c>
      <c r="D29" s="455" t="n">
        <v>0</v>
      </c>
      <c r="E29" s="438" t="n"/>
      <c r="F29" s="123" t="n"/>
    </row>
    <row r="30">
      <c r="A30" s="512" t="n"/>
      <c r="B30" s="491" t="n"/>
      <c r="C30" s="491" t="n"/>
      <c r="D30" s="481" t="n"/>
      <c r="E30" s="438" t="n"/>
      <c r="F30" s="123" t="n"/>
    </row>
    <row r="31" ht="16.5" customHeight="1" s="486">
      <c r="A31" s="512" t="n">
        <v>14</v>
      </c>
      <c r="B31" s="203" t="inlineStr">
        <is>
          <t>Tax Due / (Refund Due) ((12 (Self) + 12 (Wife) - 13(Self) - 13 (Wife))</t>
        </is>
      </c>
      <c r="C31" s="281">
        <f>ROUND(TaxComp.TotTaxableIncomeLessRlfS,2)+ROUND(TaxComp.TotTaxableIncomeLessRlfW,2)-ROUND(CreditIncome.TotalTaxCreditS,2)-ROUND(CreditIncome.TotalTaxCreditW,2)</f>
        <v/>
      </c>
      <c r="D31" s="282" t="n"/>
      <c r="E31" s="439" t="n">
        <v>0</v>
      </c>
      <c r="F31" s="235" t="inlineStr">
        <is>
          <t>System should enable section A Part 2 only if this is nagetive</t>
        </is>
      </c>
    </row>
    <row r="32" ht="37.5" customHeight="1" s="486">
      <c r="A32" s="237" t="n"/>
      <c r="B32" s="237" t="n"/>
      <c r="C32" s="237" t="n"/>
      <c r="D32" s="237" t="n"/>
      <c r="E32" s="438" t="n"/>
    </row>
    <row r="33" ht="37.5" customHeight="1" s="486">
      <c r="A33" s="237" t="n"/>
      <c r="B33" s="237" t="n"/>
      <c r="C33" s="237" t="n"/>
      <c r="D33" s="237" t="n"/>
      <c r="E33" s="438" t="n"/>
    </row>
    <row r="34" hidden="1" s="486">
      <c r="A34" s="236" t="n"/>
      <c r="B34" s="583" t="n"/>
      <c r="C34" s="583" t="n"/>
      <c r="D34" s="583" t="n"/>
      <c r="E34" s="583" t="n"/>
    </row>
    <row r="35" hidden="1" s="486">
      <c r="A35" s="236" t="n"/>
      <c r="B35" s="583" t="n"/>
      <c r="C35" s="583" t="n"/>
      <c r="D35" s="583" t="n"/>
      <c r="E35" s="583" t="n"/>
    </row>
    <row r="36" hidden="1" s="486">
      <c r="A36" s="236" t="n"/>
      <c r="B36" s="583" t="n"/>
      <c r="C36" s="583" t="n"/>
      <c r="D36" s="583" t="n"/>
      <c r="E36" s="583" t="n"/>
    </row>
    <row r="37" hidden="1" s="486">
      <c r="A37" s="236" t="n"/>
      <c r="B37" s="583" t="n"/>
      <c r="C37" s="583" t="n"/>
      <c r="D37" s="583" t="n"/>
      <c r="E37" s="583" t="n"/>
    </row>
  </sheetData>
  <sheetProtection selectLockedCells="0" selectUnlockedCells="0" algorithmName="SHA-512" sheet="1" objects="1" insertRows="1" insertHyperlinks="1" autoFilter="1" scenarios="1" formatColumns="1" deleteColumns="1" insertColumns="1" pivotTables="1" deleteRows="1" formatCells="1" saltValue="t0RFbF6U/7/nTtji07aZkA==" formatRows="1" sort="1" spinCount="100000" hashValue="slF0fgU9ZyCBYec8+GXsgr8lnA4arAZx0fPXX5mGLBfCYMFTCJnDU6eSBUFKHsIife0H2oxtgRE0yZk0tO7o8g=="/>
  <mergeCells count="6">
    <mergeCell ref="A1:D1"/>
    <mergeCell ref="A8:D8"/>
    <mergeCell ref="A20:D20"/>
    <mergeCell ref="A30:D30"/>
    <mergeCell ref="J1:J2"/>
    <mergeCell ref="F6:F7"/>
  </mergeCells>
  <dataValidations xWindow="1644" yWindow="419" count="11">
    <dataValidation sqref="C3:D4 C9 C11:C12 C14 C21:D21 D9 D10 D31" showDropDown="0" showInputMessage="0" showErrorMessage="1" allowBlank="0" type="decimal">
      <formula1>0</formula1>
      <formula2>1000000000000000</formula2>
    </dataValidation>
    <dataValidation sqref="C10 C15:C17 C31 D14:D17" showDropDown="0" showInputMessage="0" showErrorMessage="1" allowBlank="0"/>
    <dataValidation sqref="C22:C24 C27:C29 D22:D24 D27:D29" showDropDown="0" showInputMessage="0" showErrorMessage="0" allowBlank="0"/>
    <dataValidation sqref="D5"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C6:D6" showDropDown="0" showInputMessage="0" showErrorMessage="0" allowBlank="0" error="Please enter currency value less than or equal to 15 digits" prompt="Enter numeric data of length less than or equal to 15 characters._x000a_Special characters like ` ~ ! $ % ^ * ( ) @ # &amp; ' &quot; { } ; : &lt; &gt; ? / \ and comma are not allowed."/>
    <dataValidation sqref="D11:D12" showDropDown="0" showInputMessage="0" showErrorMessage="1" allowBlank="0" type="decimal">
      <formula1>0</formula1>
      <formula2>10000000000000000</formula2>
    </dataValidation>
    <dataValidation sqref="D18" showDropDown="0" showInputMessage="1" showErrorMessage="1" allowBlank="0" errorTitle="Data Error:" error="Please enter positive numeric value " promptTitle="Numeric:" prompt="Enter numeric value."/>
    <dataValidation sqref="C13:D13 C19:D19" showDropDown="0" showInputMessage="0" showErrorMessage="0" allowBlank="0" errorTitle="Data Error :" error="Please enter positive numeric value" prompt="Enter numeric data of length less than or equal to 15 characters._x000a_Special characters like ` ~ ! $ % ^ * ( ) @ # &amp; ' &quot; { } ; : &lt; &gt; ? / \ and comma are not allowed."/>
    <dataValidation sqref="C25 C26 D25 D26" showDropDown="0" showInputMessage="1" showErrorMessage="0" allowBlank="0" prompt="Enter numeric value of length less than or equal to 15 digit."/>
    <dataValidation sqref="C5" showDropDown="0" showInputMessage="1" showErrorMessage="1" allowBlank="0" errorTitle="Data Error:" error="Please enter positive numeric value less than or equal to 240,000.00 KSH" promptTitle="Numeric:" prompt="Enter numeric value less than or equal to 240,000.00 KSH" type="decimal">
      <formula1>0</formula1>
      <formula2>240000</formula2>
    </dataValidation>
    <dataValidation sqref="C18" showDropDown="0" showInputMessage="1" showErrorMessage="1" allowBlank="0" errorTitle="Data Error:" error="Please enter positive numeric value." promptTitle="Numeric:" prompt="Enter numeric value ."/>
  </dataValidations>
  <pageMargins left="0.7" right="0.7" top="0.75" bottom="0.75" header="0.3" footer="0.3"/>
  <pageSetup orientation="portrait"/>
  <drawing r:id="rId1"/>
</worksheet>
</file>

<file path=xl/worksheets/sheet34.xml><?xml version="1.0" encoding="utf-8"?>
<worksheet xmlns="http://schemas.openxmlformats.org/spreadsheetml/2006/main">
  <sheetPr codeName="Sheet1">
    <outlinePr summaryBelow="1" summaryRight="1"/>
    <pageSetUpPr/>
  </sheetPr>
  <dimension ref="A1:A11"/>
  <sheetViews>
    <sheetView workbookViewId="0">
      <selection activeCell="A2" sqref="A2"/>
    </sheetView>
  </sheetViews>
  <sheetFormatPr baseColWidth="10" defaultColWidth="8.83203125" defaultRowHeight="15"/>
  <sheetData>
    <row r="1">
      <c r="A1" s="581" t="n"/>
    </row>
    <row r="3">
      <c r="A3" s="20" t="n"/>
    </row>
    <row r="4">
      <c r="A4" s="20" t="inlineStr">
        <is>
          <t>13e0c0e7344543d7d4676ee804bd37c142d4f3fc30671831dd26e612bcbc0fcb</t>
        </is>
      </c>
    </row>
    <row r="5">
      <c r="A5" t="inlineStr">
        <is>
          <t>4274c8390fdca19b4245f44c3ed4592f56f6aeebba2d156560ea8831bab86e49</t>
        </is>
      </c>
    </row>
    <row r="10">
      <c r="A10" s="20" t="inlineStr">
        <is>
          <t>13e0c0e7344543d7d4676ee804bd37c142d4f3fc30671831dd26e612bcbc0fcb</t>
        </is>
      </c>
    </row>
    <row r="11">
      <c r="A11" t="inlineStr">
        <is>
          <t>4274c8390fdca19b4245f44c3ed4592f56f6aeebba2d156560ea8831bab86e49</t>
        </is>
      </c>
    </row>
  </sheetData>
  <sheetProtection selectLockedCells="0" selectUnlockedCells="0" algorithmName="SHA-512" sheet="1" objects="1" insertRows="1" insertHyperlinks="1" autoFilter="1" scenarios="1" formatColumns="1" deleteColumns="1" insertColumns="1" pivotTables="1" deleteRows="1" formatCells="1" saltValue="fXqzBkMoPP5uqN79LcBTRQ==" formatRows="1" sort="1" spinCount="100000" hashValue="SvoX/wT/IxecxM/gqigKhIpbSnmxEB/nz1rcNOgCRhtW1hqodgDhCIFZYM+5dCTUVbuDtlE9MpQxvRDeboj/wA=="/>
  <pageMargins left="0.7" right="0.7" top="0.75" bottom="0.75" header="0.5118055555555555" footer="0.5118055555555555"/>
  <pageSetup orientation="portrait" paperSize="9" firstPageNumber="0" horizontalDpi="300" verticalDpi="300"/>
</worksheet>
</file>

<file path=docProps/app.xml><?xml version="1.0" encoding="utf-8"?>
<Properties xmlns="http://schemas.openxmlformats.org/officeDocument/2006/extended-properties">
  <Application>Microsoft Excel Compatible / Openpyxl</Application>
  <AppVersion>3.1.4</AppVersion>
</Properties>
</file>

<file path=docProps/core.xml><?xml version="1.0" encoding="utf-8"?>
<cp:coreProperties xmlns:cp="http://schemas.openxmlformats.org/package/2006/metadata/core-properties" xmlns:dc="http://purl.org/dc/elements/1.1/" xmlns:dcterms="http://purl.org/dc/terms/" xmlns:xsi="http://www.w3.org/2001/XMLSchema-instance">
  <dc:creator>Moses Muchai</dc:creator>
  <dcterms:created xsi:type="dcterms:W3CDTF">2012-03-06T05:26:30Z</dcterms:created>
  <dcterms:modified xsi:type="dcterms:W3CDTF">2024-06-17T21:47:40Z</dcterms:modified>
  <cp:lastModifiedBy>Churpy Inc</cp:lastModifiedBy>
  <cp:lastPrinted>2013-02-04T08:00:45Z</cp:lastPrinted>
</cp:coreProperties>
</file>